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80" windowHeight="8832" activeTab="0"/>
  </bookViews>
  <sheets>
    <sheet name="CENIK 2005-06" sheetId="1" r:id="rId1"/>
    <sheet name="CENIK 2003" sheetId="2" r:id="rId2"/>
    <sheet name="CENIK 2002" sheetId="3" r:id="rId3"/>
    <sheet name="List2" sheetId="4" r:id="rId4"/>
    <sheet name="List3" sheetId="5" r:id="rId5"/>
  </sheets>
  <definedNames>
    <definedName name="_xlnm.Print_Area" localSheetId="2">'CENIK 2002'!$A$1:$E$310</definedName>
    <definedName name="_xlnm.Print_Area" localSheetId="1">'CENIK 2003'!$A$1:$E$310</definedName>
    <definedName name="_xlnm.Print_Area" localSheetId="0">'CENIK 2005-06'!$A$1:$E$337</definedName>
  </definedNames>
  <calcPr fullCalcOnLoad="1"/>
</workbook>
</file>

<file path=xl/sharedStrings.xml><?xml version="1.0" encoding="utf-8"?>
<sst xmlns="http://schemas.openxmlformats.org/spreadsheetml/2006/main" count="2283" uniqueCount="809">
  <si>
    <t>Vrtci, šole, upokojenci, invalidi, humanitarna d.</t>
  </si>
  <si>
    <t>CENA 2000/01</t>
  </si>
  <si>
    <t>SKUPINSKA VSTOPNICA ZA POKRITI OLIMPIJSKI BAZEN KRANJ</t>
  </si>
  <si>
    <t>Vstopnica za 12 obiskov bazena v času obratovanja za rekreacijo, v obdobju 60. dni od dneva nakupa. Vstopnico lahko kupijo: (1) otroci do 15. leta starosti, (2) študenti z indeksom ali dijaško izkaznico, (3) upokojenci s potrdilom o pokojnini ali izkaznico upokojenskega društva in (4) invalidi z zdravstveno izkaznico. Znesek vključuje ceno in DDV. (TC x 12 X 0,60)</t>
  </si>
  <si>
    <t>Dnevna vstopnica za organizirane skupine nad 200 članov, za uporabo bazena v času obratovanja za rekreacijo. Znesek vključuje ceno in DDV. (TC x 0,7)</t>
  </si>
  <si>
    <t>010600</t>
  </si>
  <si>
    <t>010601</t>
  </si>
  <si>
    <t>010602</t>
  </si>
  <si>
    <t>010603</t>
  </si>
  <si>
    <t>Proga 16m</t>
  </si>
  <si>
    <t>010104</t>
  </si>
  <si>
    <t>Udeleženci posebnih programov</t>
  </si>
  <si>
    <t>030702</t>
  </si>
  <si>
    <t>Srednje šole</t>
  </si>
  <si>
    <t>Proga 25m</t>
  </si>
  <si>
    <t>Proga 50m</t>
  </si>
  <si>
    <t>Drugi kupci</t>
  </si>
  <si>
    <t xml:space="preserve">Drugi kupci </t>
  </si>
  <si>
    <t>010604</t>
  </si>
  <si>
    <t>010605</t>
  </si>
  <si>
    <t>010606</t>
  </si>
  <si>
    <t>Mali bazen</t>
  </si>
  <si>
    <t>Veliki bazen  vadba</t>
  </si>
  <si>
    <t>Veliki bazen  tekma</t>
  </si>
  <si>
    <t>010700</t>
  </si>
  <si>
    <t>010701</t>
  </si>
  <si>
    <t>010702</t>
  </si>
  <si>
    <t>010703</t>
  </si>
  <si>
    <t>010704</t>
  </si>
  <si>
    <t>010705</t>
  </si>
  <si>
    <t>010706</t>
  </si>
  <si>
    <t>UPORABA POKRITEGA OLIMPIJSKEGA BAZENA ZA DOMICILNA ŠPORTNA DRUŠTVA</t>
  </si>
  <si>
    <t>Domicilna športna društva</t>
  </si>
  <si>
    <t>010800</t>
  </si>
  <si>
    <t>Vrtci in šole</t>
  </si>
  <si>
    <t>010801</t>
  </si>
  <si>
    <t>010802</t>
  </si>
  <si>
    <t>010803</t>
  </si>
  <si>
    <t>010804</t>
  </si>
  <si>
    <t>010805</t>
  </si>
  <si>
    <t>010806</t>
  </si>
  <si>
    <t>Drugi kupci so športna društva izven Mestne občine Kranj, športna rekreacija in vsi ostali kupci.</t>
  </si>
  <si>
    <t>LETNO KOPALIŠČE KRANJ</t>
  </si>
  <si>
    <t>020000</t>
  </si>
  <si>
    <t>DNEVNA VSTOPNICA ZA LETNO KOPALIŠČE KRANJ</t>
  </si>
  <si>
    <t>020100</t>
  </si>
  <si>
    <t>020101</t>
  </si>
  <si>
    <t>020102</t>
  </si>
  <si>
    <t>020103</t>
  </si>
  <si>
    <t>POPOLDANSKA VSTOPNICA ZA LETNO KOPALIŠČE KRANJ</t>
  </si>
  <si>
    <t>020200</t>
  </si>
  <si>
    <t>020201</t>
  </si>
  <si>
    <t>020202</t>
  </si>
  <si>
    <t>020203</t>
  </si>
  <si>
    <t>020300</t>
  </si>
  <si>
    <t>VSTOPNICA ZA 12 OBISKOV ZA LETNO KOPALIŠČE KRANJ</t>
  </si>
  <si>
    <t>020301</t>
  </si>
  <si>
    <t>020302</t>
  </si>
  <si>
    <t>020303</t>
  </si>
  <si>
    <t>MESEČNA VSTOPNICA ZA LETNO KOPALIŠČE KRANJ</t>
  </si>
  <si>
    <t>020400</t>
  </si>
  <si>
    <t>020401</t>
  </si>
  <si>
    <t>020402</t>
  </si>
  <si>
    <t>020403</t>
  </si>
  <si>
    <t>020500</t>
  </si>
  <si>
    <t>020501</t>
  </si>
  <si>
    <t>020502</t>
  </si>
  <si>
    <t>020503</t>
  </si>
  <si>
    <t>SKUPINSKA VSTOPNICA ZA LETNO KOPALIŠČE KRANJ</t>
  </si>
  <si>
    <t>020600</t>
  </si>
  <si>
    <t>020601</t>
  </si>
  <si>
    <t>020602</t>
  </si>
  <si>
    <t>020603</t>
  </si>
  <si>
    <t>STORITVE NA LETNEM KOPALIŠČU KRANJ</t>
  </si>
  <si>
    <t>020604</t>
  </si>
  <si>
    <t>020605</t>
  </si>
  <si>
    <t>020606</t>
  </si>
  <si>
    <t>020700</t>
  </si>
  <si>
    <t>020701</t>
  </si>
  <si>
    <t>020702</t>
  </si>
  <si>
    <t>020703</t>
  </si>
  <si>
    <t>020704</t>
  </si>
  <si>
    <t>Bazen 30m</t>
  </si>
  <si>
    <t>Bazen 50m  vadba</t>
  </si>
  <si>
    <t>Bazen 50m  tekma</t>
  </si>
  <si>
    <t>UPORABA LETNEGA KOPALIŠČA KRANJ ZA DOMICILNA ŠPORTNA DRUŠTVA</t>
  </si>
  <si>
    <t>NAJEM LETNEGA KOPALIŠČA KRANJ ZA VRTCE IN ŠOLE</t>
  </si>
  <si>
    <t>020800</t>
  </si>
  <si>
    <t>020801</t>
  </si>
  <si>
    <t>020802</t>
  </si>
  <si>
    <t>020803</t>
  </si>
  <si>
    <t>020804</t>
  </si>
  <si>
    <t>020900</t>
  </si>
  <si>
    <t>020901</t>
  </si>
  <si>
    <t>020902</t>
  </si>
  <si>
    <t>021000</t>
  </si>
  <si>
    <t>021001</t>
  </si>
  <si>
    <t>021002</t>
  </si>
  <si>
    <t>021100</t>
  </si>
  <si>
    <t>021101</t>
  </si>
  <si>
    <t>021102</t>
  </si>
  <si>
    <t>NAJEM LETNEGA KOPALIŠČA KRANJ ZA PRIREDITVE ZA DOMICILNA ŠPORTNA DRUŠTVA</t>
  </si>
  <si>
    <t>Komercialna prireditev</t>
  </si>
  <si>
    <t>Dobrodelna prireditev</t>
  </si>
  <si>
    <t>Najem Letnega kopališča Kranj za dobrodelno prireditev za eno uro, za druge kupce. Znesek je cena brez DDV. (TC x 10,00).</t>
  </si>
  <si>
    <t>030000</t>
  </si>
  <si>
    <t>030100</t>
  </si>
  <si>
    <t>030101</t>
  </si>
  <si>
    <t>030102</t>
  </si>
  <si>
    <t>030103</t>
  </si>
  <si>
    <t>030104</t>
  </si>
  <si>
    <t>1/3 dvorane  vadba</t>
  </si>
  <si>
    <t>1/3 dvorane  tekma</t>
  </si>
  <si>
    <t>Dvorana   vadba</t>
  </si>
  <si>
    <t>Dvorana   tekma</t>
  </si>
  <si>
    <t>030200</t>
  </si>
  <si>
    <t>030201</t>
  </si>
  <si>
    <t>030202</t>
  </si>
  <si>
    <t>030203</t>
  </si>
  <si>
    <t>030204</t>
  </si>
  <si>
    <t>03.</t>
  </si>
  <si>
    <t xml:space="preserve">Najem 50 m bazena za eno uro za domicilna športna društva.  </t>
  </si>
  <si>
    <t xml:space="preserve">Najem 50 m bazena s tribunami za tekmovanja, za eno uro za domicilna športna društva. </t>
  </si>
  <si>
    <t>040910</t>
  </si>
  <si>
    <t>040911</t>
  </si>
  <si>
    <t>040912</t>
  </si>
  <si>
    <t>041010</t>
  </si>
  <si>
    <t>041011</t>
  </si>
  <si>
    <t>041012</t>
  </si>
  <si>
    <t>041013</t>
  </si>
  <si>
    <t>041014</t>
  </si>
  <si>
    <t xml:space="preserve">Dnevna vstopnica za osebe nad 15. let starosti za uporabo bazena v času obratovanja za rekreacijo. </t>
  </si>
  <si>
    <t xml:space="preserve">Popoldanska vstopnica za osebe nad 15. let starosti za uporabo bazena v času obratovanja za rekreacijo, po 14. uri. </t>
  </si>
  <si>
    <t xml:space="preserve">Vstopnica za osebe nad 15. let starosti za 12 obiskov bazena v času obratovanja za rekreacijo, v obdobju 60.dni od dneva nakupa. </t>
  </si>
  <si>
    <t xml:space="preserve">Skupinska dnevna vstopnica za organizirane skupine od 50 do 200 članov, za uporabo bazena v času obratovanja za rekreacijo. </t>
  </si>
  <si>
    <t xml:space="preserve">Skupinska dnevna vstopnica za organizirane skupine nad 200 članov, za uporabo bazena v času obratovanja za rekreacijo. </t>
  </si>
  <si>
    <t xml:space="preserve">Skupinska dnevna vstopnica za vrtce, šole, študente, invalide, upokojenska in humanitarna društva, za organizirane skupine nad 20 članov. </t>
  </si>
  <si>
    <t xml:space="preserve">Najem mize za namizni tenis za obiskovalce bazena, za 30 minut, za uporabo v času obratovanja za rekreacijo. </t>
  </si>
  <si>
    <t xml:space="preserve">Kavcija za izposojo dveh loparjev in žogice za namizni tenis, za eno uro. </t>
  </si>
  <si>
    <t xml:space="preserve">Najem 50 metrske proge v bazenu za vadbo, za eno uro za domicilna športna društva. </t>
  </si>
  <si>
    <t xml:space="preserve">Najem 30m bazena za vadbo, za eno uro za domicilna športna društva. </t>
  </si>
  <si>
    <t xml:space="preserve">Najem 50 metrske proge v bazenu za vadbo, za eno uro za vrtce in šole. </t>
  </si>
  <si>
    <t xml:space="preserve">Najem 30m bazena za vadbo, za eno uro za vrtce in šole. </t>
  </si>
  <si>
    <t xml:space="preserve">Najem 50 m bazena za vadbo, za eno uro za vrtce in šole. </t>
  </si>
  <si>
    <t xml:space="preserve">Najem 50 m bazena za tekmo s tribunami za gledalce, za eno uro za vrtce in šole. </t>
  </si>
  <si>
    <t xml:space="preserve">Najem Letnega kopališča Kranj za komercialno prireditev za eno uro, za druge kupce. </t>
  </si>
  <si>
    <t xml:space="preserve">Najem Letnega kopališča Kranj za dobrodelno prireditev za eno uro, za druge kupce. </t>
  </si>
  <si>
    <t xml:space="preserve">Najem Letnega kopališča Kranj za komercialno prireditev za eno uro, za domicilna športna društva. </t>
  </si>
  <si>
    <t xml:space="preserve">Najem Letnega kopališča Kranj za klubsko ali dobrodelno prireditev za eno uro, za domicilna športna društva. </t>
  </si>
  <si>
    <t xml:space="preserve">Najem Letnega kopališča Kranj za komercialno prireditev za eno uro, za vrtce in šole. </t>
  </si>
  <si>
    <t xml:space="preserve">Najem Letnega kopališča Kranj za dobrodelno prireditev za eno uro, za vrtce in šole. </t>
  </si>
  <si>
    <t xml:space="preserve">Najem atletske steze za tekmo za eno uro, za domicilna športna društva. </t>
  </si>
  <si>
    <t>Vrtci, šole, upokojenci, invalidi, humanitar. d.</t>
  </si>
  <si>
    <t>04.</t>
  </si>
  <si>
    <t>Informativne cene v evrih so preračunane po centralnem paritetnem tečaju 1 evro = 239.640 SIT.</t>
  </si>
  <si>
    <t>Najem enega (1) m2 montažnega odra za en dan, brez postavitve, za druge kupce.</t>
  </si>
  <si>
    <t xml:space="preserve">Najem enega (1) m2 montažnega odra za en dan, brez postavitve, za domicilna društva. </t>
  </si>
  <si>
    <t>UPORABA DVORANE PLANINA KRANJ ZA DOMICILNA ŠPORTNA DRUŠTVA</t>
  </si>
  <si>
    <t>030300</t>
  </si>
  <si>
    <t>030301</t>
  </si>
  <si>
    <t>NAJEM DVORANE PLANINA KRANJ ZA DRUGE KUPCE</t>
  </si>
  <si>
    <t>NAJEM LETNEGA KOPALIŠČA KRANJ ZA DRUGE KUPCE</t>
  </si>
  <si>
    <t>NAJEM POKRITEGA OLIMPIJSKEGA BAZENA ZA DRUGE KUPCE</t>
  </si>
  <si>
    <t>030302</t>
  </si>
  <si>
    <t>030303</t>
  </si>
  <si>
    <t>030304</t>
  </si>
  <si>
    <t>NAJEM DVORANE PLANINA KRANJ ZA PRIREDITVE ZA DRUGE KUPCE</t>
  </si>
  <si>
    <t>NAJEM LETNEGA KOPALIŠČA KRANJ ZA PRIREDITVE ZA DRUGE KUPCE</t>
  </si>
  <si>
    <t>NAJEM DVORANE PLANINA KRANJ ZA PRIREDITVE ZA DOMICILNA ŠPORTNA DRUŠTVA</t>
  </si>
  <si>
    <t>NAJEM DVORANE PLANINA KRANJ ZA PRIREDITVE ZA VRTCE IN ŠOLE</t>
  </si>
  <si>
    <t>030400</t>
  </si>
  <si>
    <t>030401</t>
  </si>
  <si>
    <t>030402</t>
  </si>
  <si>
    <t>030500</t>
  </si>
  <si>
    <t>030501</t>
  </si>
  <si>
    <t>030502</t>
  </si>
  <si>
    <t>030600</t>
  </si>
  <si>
    <t>030601</t>
  </si>
  <si>
    <t>030602</t>
  </si>
  <si>
    <t>DVORANA PLANINA KRANJ</t>
  </si>
  <si>
    <t>030700</t>
  </si>
  <si>
    <t>NAJEM DVORANE PLANINA KRANJ ZA OŠ JAKOBA ALJAŽA</t>
  </si>
  <si>
    <t>030701</t>
  </si>
  <si>
    <t>1/3 dvorane  vadba-tekma</t>
  </si>
  <si>
    <t>OŠ Jakoba Aljaža</t>
  </si>
  <si>
    <t>040000</t>
  </si>
  <si>
    <t>ŠPORTNI CENTER KRANJ</t>
  </si>
  <si>
    <t>040100</t>
  </si>
  <si>
    <t>040101</t>
  </si>
  <si>
    <t>040102</t>
  </si>
  <si>
    <t>040103</t>
  </si>
  <si>
    <t>040104</t>
  </si>
  <si>
    <t>040200</t>
  </si>
  <si>
    <t>040201</t>
  </si>
  <si>
    <t>040202</t>
  </si>
  <si>
    <t>040203</t>
  </si>
  <si>
    <t>040204</t>
  </si>
  <si>
    <t>040300</t>
  </si>
  <si>
    <t>040301</t>
  </si>
  <si>
    <t>040302</t>
  </si>
  <si>
    <t>040303</t>
  </si>
  <si>
    <t>040304</t>
  </si>
  <si>
    <t>040400</t>
  </si>
  <si>
    <t>040401</t>
  </si>
  <si>
    <t>040500</t>
  </si>
  <si>
    <t>040501</t>
  </si>
  <si>
    <t>NAJEM ATLETSKEGA STADIONA ZA DRUGE KUPCE</t>
  </si>
  <si>
    <t>Atletska steza vadba 1</t>
  </si>
  <si>
    <t>Atletska steza vadba 2</t>
  </si>
  <si>
    <t>Atletska steza tekma 1</t>
  </si>
  <si>
    <t>Najem dvorane za vadbo, za eno uro za vrtce in šole. Znesek je cena brez DDV. (TC x 9,2).</t>
  </si>
  <si>
    <t>Mesečna vstopnica za osebe nad 15. let starosti za uporabo bazena v času obratovanja za rekreacijo, v obdobju 30.dni od dneva nakupa.Znesek vključuje ceno in DDV. (TC x 1,50 x 0,651852 x 30 x 0,40)</t>
  </si>
  <si>
    <t>Mesečna vstopnica za družine z najmanj tremi člani, za uporabo bazena v času obratovanja za rekreacijo, v obdobju 30.dni, od dneva nakupa. Doplačilo za vsako dodatno osebo je  6.000,00 SIT.  Znesek vključuje ceno in DDV. (TC x 3 x 0,6518524 x 30 x 0,40 x 2)</t>
  </si>
  <si>
    <t>Skupinska dnevna vstopnica za organizirane skupine od 50 do 200 članov, za uporabo bazena v času obratovanja za rekreacijo. Znesek vključuje ceno in DDV. (TC x 0,65334)</t>
  </si>
  <si>
    <t>Zcenik02.xls - Stran 05</t>
  </si>
  <si>
    <t>Zcenik02.xls - Stran 01</t>
  </si>
  <si>
    <t>Zcenik02.xls - Stran 02</t>
  </si>
  <si>
    <t>Zcenik02.xls - Stran 03</t>
  </si>
  <si>
    <t>Zcenik02.xls - Stran 04</t>
  </si>
  <si>
    <t>Zcenik02.xls - Stran 06</t>
  </si>
  <si>
    <t>Zcenik02.xls - Stran 07</t>
  </si>
  <si>
    <t>Zcenik02.xls - Stran 08</t>
  </si>
  <si>
    <t>Zcenik02.xls - Stran 09</t>
  </si>
  <si>
    <t>Najem atletske steze za vadbo, za eno uro za druge kupce. Znesek je cena brez DDV. (TC x 15,00001).</t>
  </si>
  <si>
    <t>Najem atletske steze, skakališča in metališča za vadbo, za eno uro za druge kupce. Znesek je cena brez DDV. (TC x 20,00001).</t>
  </si>
  <si>
    <t>Najem atletske steze za tekmo, za eno uro za druge kupce. Znesek je cena brez DDV. (TC x 25,00001).</t>
  </si>
  <si>
    <t>Najem atletske steze, skakališča in metališča za tekmo in tribune za gledalce, za eno uro za druge kupce. Znesek je cena brez DDV. (TC x 30,00002).</t>
  </si>
  <si>
    <t>Najem atletske steze, skakališča in metališča za vadbo, za eno uro za vrtce in šole.  Znesek je cena brez DDV. (TC x 20 x 0,6000001).</t>
  </si>
  <si>
    <t>Najem atletske steze za tekmo, za eno uro za vrtce in šole.  Znesek je cena brez DDV. (TC x 25 x 0,6000001).</t>
  </si>
  <si>
    <t>Najem atletske steze, skakališča in metališča za tekmo in tribune za gledalce, za eno uro za vrtce in šole.  Znesek je cena brez DDV. (TC x 30 x 0,6000002).</t>
  </si>
  <si>
    <t>Dnevna vstopnica za uporabo bazena v času obratovanja za rekreacijo. Vstopnico lahko kupijo: (1) otroci do 15. leta starosti, (2) študenti z indeksom ali dijaško izkaznico, (3) upokojenci s potrdilom o pokojnini ali izkaznico upokojenskega društva in (4) invalidi z zdravstveno izkaznico. Znesek vključuje ceno in DDV. (cena 2002 x 1,136363 = temeljna cena=TC)</t>
  </si>
  <si>
    <t xml:space="preserve">Dnevna vstopnica za uporabo bazena v času obratovanja za rekreacijo. Vstopnico lahko kupijo: (1) otroci do 15. leta starosti, (2) študenti z indeksom ali dijaško izkaznico, (3) upokojenci s potrdilom o pokojnini ali izkaznico upokojenskega društva in (4) </t>
  </si>
  <si>
    <t>Vstopnica za 12 obiskov bazena v času obratovanja za rekreacijo, v obdobju 60. dni od dneva nakupa. Vstopnico lahko kupijo: (1) otroci do 15. leta starosti, (2) študenti z indeksom ali dijaško izkaznico, (3) upokojenci s potrdilom o pokojnini ali izkaznic</t>
  </si>
  <si>
    <t>Drugi kupci so kupci, ki niso domicilna športna društva, šole in vrtci, študentske organizacije, upokojenska, humanitarna in invalidska društva.</t>
  </si>
  <si>
    <t>Mesečna vstopnica za uporabo bazena v času obratovanja za rekreacijo, v obdobju 30. dni od dneva nakupa. Vstopnico lahko kupijo: (1) otroci do 15. leta starosti, (2) študenti z indeksom ali dijaško izkaznico, (3) upokojenci s potrdilom o pokojnini ali izk</t>
  </si>
  <si>
    <t>Letna vstopnica za uporabo Pokritega olimpijskega bazena in Letnega kopališča v Kranju v času obratovanja za rekreacijo, v obdobju enega leta od dneva nakupa. Vstopnico lahko kupijo: (1) otroci do 15. leta starosti, (2) študenti z indeksom ali dijaško izk</t>
  </si>
  <si>
    <t>Letna vstopnica za družine z najmanj tremi člani, za uporabo POB in Letnega kopališča v Kranju v času obratovanja za rekreacijo, v obdobju enega leta od dneva nakupa. Doplačilo za vsako dodatno osebo je  48.180,00 SIT.  Znesek vključuje ceno in DDV. (TCx1</t>
  </si>
  <si>
    <t>Cenik začne veljati od 1. septembra 2006.</t>
  </si>
  <si>
    <t>Popoldanska vstopnica za uporabo bazena v času obratovanja za rekreacijo, po 14. uri. Vstopnico lahko kupijo: (1) otroci do 15. leta starosti, (2) študenti z indeksom ali dijaško izkaznico, (3) upokojenci s potrdilom o pokojnini ali izkaznico upokojenskeg</t>
  </si>
  <si>
    <t xml:space="preserve">Mesečna vstopnica za družine z najmanj tremi člani, za uporabo bazena v času obratovanja za rekreacijo, v obdobju 30.dni, od dneva nakupa. Doplačilo za vsako dodatno osebo je  6.000,00 SIT.  Znesek vključuje ceno in DDV. (TC x 3 x 0,6518524 x 30 x 0,40 x </t>
  </si>
  <si>
    <t xml:space="preserve">Najem igrišča za odbojko na mivki za eno uro, v času obratovanja za rekreacijo, od 07.00 do 19.00. Znesek vključuje ceno in DDV. (TC x 0,7333). Najem igrišča za odbojko na mivki za eno uro, v času obratovanja za rekreacijo, od 19.00 do 23.00, je 1.000,00 </t>
  </si>
  <si>
    <t>Najem nogometnega igrišča za vadbo, za eno uro za druge kupce. Znesek je cena brez DDV. (TC x 30,00002).</t>
  </si>
  <si>
    <t>Najem nogometnega igrišča za tekmo, za eno uro za druge kupce. Znesek je cena brez DDV. (TC x 40,00002).</t>
  </si>
  <si>
    <t>Najem nogometnega igrišča za vadbo, za eno uro za domicilna športna društva. Znesek je cena brez DDV. (TC x 15,00001).</t>
  </si>
  <si>
    <t>Najem nogometnega igrišča za tekmo, za eno uro za domicilna športna društva. Znesek je cena brez DDV. (TC x 20,00001).</t>
  </si>
  <si>
    <t>Najem pomožnega nogometnega igrišča za vadbo, za eno uro za druge kupce. Znesek je cena brez DDV. (TC x 15,00001).</t>
  </si>
  <si>
    <t>Najem pomožnega nogometnega igrišča z razsvetljavo za vadbo, za eno uro za druge kupce. Znesek je cena brez DDV. (TC x 20,00001).</t>
  </si>
  <si>
    <t>Najem pomožnega nogometnega igrišča za tekmo, za eno uro za druge kupce. Znesek je cena brez DDV. (TC x 30,00002).</t>
  </si>
  <si>
    <t>Najem pomožnega nogometnega igrišča z razsvetljavo za tekmo, za eno uro za druge kupce. Znesek je cena brez DDV. (TC x 40,00002).</t>
  </si>
  <si>
    <t>Najem pomožnega nogometnega igrišča za tekmo, za eno uro za domicilna športna društva. Znesek je cena brez DDV. (TC x 15,00001).</t>
  </si>
  <si>
    <t>Najem pomožnega nogometnega igrišča z razsvetljavo za tekmo, za eno uro za domicilna športna društva. Znesek je cena brez DDV. (TC x 20,00001).</t>
  </si>
  <si>
    <t>Najem enega (1) m2 montažnega odra za en dan, brez postavitve, za domicilna društva. Znesek je cena brez DDV. (TC x 1,00)</t>
  </si>
  <si>
    <t>dodatno čiščenje najetih prostorov,</t>
  </si>
  <si>
    <t>Najem ene tretjine (1/3) dvorane za vadbo, za eno uro za domicilna športna društva. Znesek je cena brez DDV. (TC x 2,746666).</t>
  </si>
  <si>
    <t>Najem ene tretjine (1/3) dvorane za vadbo, za eno uro za druge kupce. Znesek je cena brez DDV. (TC x 5,50).</t>
  </si>
  <si>
    <t>Najem ene tretjine (1/3) dvorane za tekmo s tribunami za gledalce, za eno uro za druge kupce. Znesek je cena brez DDV. (TC x 11,00).</t>
  </si>
  <si>
    <t>Najem ene tretjine (1/3) dvorane za tekmo s tribunami za gledalce, za eno uro za domicilna športna društva. Znesek je cena brez DDV. (TC x 5,50).</t>
  </si>
  <si>
    <t>Najem ene tretjine (1/3) dvorane za vadbo, za eno uro za vrtce in šole. Znesek je cena brez DDV. (TC x 3,00).</t>
  </si>
  <si>
    <t>Najem ene tretjine (1/3) dvorane za tekmo s tribunami za gledalce, za eno uro za vrtce in šole. Znesek je cena brez DDV. (TC x 6,066666).</t>
  </si>
  <si>
    <t>Najem ene tretjine (1/3) dvorane za vadbo ali tekmo, za eno uro za OŠ Jakoba Aljaža. Znesek je cena brez DDV. (TC x 2,00).</t>
  </si>
  <si>
    <t>Jože Jenšterle, dipl.univ.ekonomist</t>
  </si>
  <si>
    <t xml:space="preserve">                                                                             direktor</t>
  </si>
  <si>
    <t>Skupinska dnevna vstopnica za organizirane skupine nad 200 članov, za uporabo bazena v času obratovanja za rekreacijo. Znesek vključuje ceno in DDV. (TC x 0,65185 x 0,90)</t>
  </si>
  <si>
    <t xml:space="preserve">Skupinska dnevna vstopnica za vrtce, šole, študente, invalide, upokojenska in humanitarna društva, za organizirane skupine nad 20 članov. Znesek vključuje ceno in DDV. (TC x 0,65 x 0,80) Cena uporabe bazena do dveh ur je 300,00 sit. </t>
  </si>
  <si>
    <t xml:space="preserve">Najem igrišča za odbojko na mivki za eno uro, v času obratovanja za rekreacijo, od 07.00 do 19.00. Znesek vključuje ceno in DDV. (TC x 0,7333). Najem igrišča za odbojko na mivki za eno uro, v času obratovanja za rekreacijo, od 19.00 do 23.00, je 1.000,00 sit. Znesek vključuje ceno in DDV. </t>
  </si>
  <si>
    <t>Kavcija za izposojo žoge za odbojko, za eno uro. (TC x 1,33333)</t>
  </si>
  <si>
    <t>Najem mize za namizni tenis za obiskovalce bazena, za 30 minut, za uporabo v času obratovanja za rekreacijo. Znesek vključuje ceno in DDV. (TC x 0,73333)</t>
  </si>
  <si>
    <t>Kavcija za izposojo dveh loparjev in žogice za namizni tenis, za eno uro. (TC x 1,33333)</t>
  </si>
  <si>
    <t xml:space="preserve">Dnevni najem ležalnika za obiskovalce bazena, za uporabo na bazenu v času obratovanja za rekreacijo. Znesek vključuje ceno in DDV. (TC x 0,4) </t>
  </si>
  <si>
    <t xml:space="preserve">Dnevni najem senčnika za obiskovalce bazena, za uporabo na bazenu v času obratovanja za rekreacijo. Znesek vključuje ceno in DDV. (TC x 0,4) </t>
  </si>
  <si>
    <t>Najem 50 metrske proge v bazenu za vadbo, za eno uro za druge kupce. Znesek je cena brez DDV. (TC x 3,066666).</t>
  </si>
  <si>
    <t>Najem 50 m bazena za vadbo, za eno uro za domicilna športna društva. Znesek je cena brez DDV. (TC x 24,00001).</t>
  </si>
  <si>
    <t xml:space="preserve">Dnevna vstopnica za družine s tremi člani, za uporabo bazena za največ tri ure, v času obratovanja za rekreacijo. Doplačilo za vsako dodatno osebo je v višini cene vstopnice za otroke. </t>
  </si>
  <si>
    <t xml:space="preserve">Dnevna vstopnica za družine s tremi člani, za uporabo bazena v času obratovanja za rekreacijo. Doplačilo za vsako dodatno osebo je v višini cene vstopnice za otroke. </t>
  </si>
  <si>
    <t xml:space="preserve">Popoldanska vstopnica za družine s tremi člani, za uporabo bazena v času obratovanja za rekreacijo, po 14. uri. Doplačilo za vsako dodatno osebo je v višini cene vstopnice za otroke. </t>
  </si>
  <si>
    <t xml:space="preserve">Vstopnica za družine s tremi člani, za 12 obiskov bazena v času, za največ tri ure dnevno, obratovanja za rekreacijo, v obdobju 365.dni od dneva nakupa. Doplačilo za vsako dodatno osebo je v višini cene vstopnice za otroke. </t>
  </si>
  <si>
    <t xml:space="preserve">Letna vstopnica za družine s tremi člani, za uporabo POB in Letnega kopališča v Kranju, za največ tri ure dnevno, v času obratovanja za rekreacijo, v obdobju enega leta od dneva nakupa. Doplačilo za vsako dodatno osebo je v višini cene vstopnice za otroke. </t>
  </si>
  <si>
    <t xml:space="preserve">Mesečna vstopnica za družine s tremi člani, za uporabo bazena, za največ tri ure dnevno, v času obratovanja za rekreacijo, v obdobju 30.dni, od dneva nakupa. Doplačilo za vsako dodatno osebo je v višini cene vstopnice za otroke.  </t>
  </si>
  <si>
    <t xml:space="preserve">Vstopnica za nočno kopanje družine s tremi člani, za 12 obiskov bazena v času obratovanja za rekreacijo, v obdobju 60.dni, od dneva nakupa. Doplačilo za vsako dodatno osebo je v višini cene vstopnice za otroke. </t>
  </si>
  <si>
    <t>Najem 50 m bazena za tekmo s tribunami za gledalce, za eno uro za domicilna športna društva. Znesek je cena brez DDV. (TC x 30,00002).</t>
  </si>
  <si>
    <t>Najem 50 metrske proge v bazenu za vadbo, za eno uro za domicilna športna društva. Znesek je cena brez DDV. (TC x 3,15  x 0,380953).</t>
  </si>
  <si>
    <t>Najem 50 m bazena za eno uro za druge kupce. Znesek je cena brez DDV. (TC x 14,80001).</t>
  </si>
  <si>
    <t>120 x 1,5</t>
  </si>
  <si>
    <t>120 / 2</t>
  </si>
  <si>
    <t>120 / 2 x 1,5</t>
  </si>
  <si>
    <t>100 x 1,2</t>
  </si>
  <si>
    <t>100 x 1,5</t>
  </si>
  <si>
    <t>100 x 1,5 x 1,2</t>
  </si>
  <si>
    <t>60 x 1,5</t>
  </si>
  <si>
    <t>35 x 1,2</t>
  </si>
  <si>
    <t>35 x 1,5</t>
  </si>
  <si>
    <t>35 x 1,5 x 1,2</t>
  </si>
  <si>
    <t>25 x 1,2</t>
  </si>
  <si>
    <t>25 x 1,5 x 1,2</t>
  </si>
  <si>
    <t>20 x 1,5</t>
  </si>
  <si>
    <t>10 x 1,5</t>
  </si>
  <si>
    <t>050000</t>
  </si>
  <si>
    <t>ŠPORTNI PARK STRAŽIŠČE</t>
  </si>
  <si>
    <t>050100</t>
  </si>
  <si>
    <t>050101</t>
  </si>
  <si>
    <t>050102</t>
  </si>
  <si>
    <t>050103</t>
  </si>
  <si>
    <t>050200</t>
  </si>
  <si>
    <t>050201</t>
  </si>
  <si>
    <t>050202</t>
  </si>
  <si>
    <t>050203</t>
  </si>
  <si>
    <t>Najem igrišča za vadbo, za eno uro, za domicilna športna društva.</t>
  </si>
  <si>
    <t>Najem polovice igrišča za vadbo, za eno uro, za domicilna športna društva.</t>
  </si>
  <si>
    <t>Najem četrtine igrišča za vadbo, za eno uro, za domicilna športna društva.</t>
  </si>
  <si>
    <t>050300</t>
  </si>
  <si>
    <t>050301</t>
  </si>
  <si>
    <t>050302</t>
  </si>
  <si>
    <t>Najem teniškega igrišča za eno uro, v dopoldanskem času, za druge kupce.</t>
  </si>
  <si>
    <t>Najem večnamenskega igrišča za vadbo, za eno uro, za druge kupce.</t>
  </si>
  <si>
    <t>Najem četrtine večnamenskega igrišča za vadbo, za eno uro, za druge kupce.</t>
  </si>
  <si>
    <t>Najem polovice večnamenskega igrišča za vadbo, za eno uro, za druge kupce.</t>
  </si>
  <si>
    <t xml:space="preserve">Dnevna vstopnica za uporabo bazena, za največ tri ure, v času obratovanja za rekreacijo. Vstopnico lahko kupijo: (1) otroci do 15. leta starosti, (2) študenti z indeksom ali dijaško izkaznico, (3) upokojenci s potrdilom o pokojnini ali izkaznico upokojenskega društva in (4) invalidi z invalidsko izkaznico. </t>
  </si>
  <si>
    <t xml:space="preserve">Vstopnica za 12 obiskov bazena, za največ tri ure dnevno, v času obratovanja za rekreacijo, v obdobju 365. dni od dneva nakupa. Vstopnico lahko kupijo: (1) otroci do 15. leta starosti, (2) študenti z indeksom ali dijaško izkaznico, (3) upokojenci s potrdilom o pokojnini ali izkaznico upokojenskega društva in (4) invalidi z invalidsko izkaznico. </t>
  </si>
  <si>
    <t xml:space="preserve">Mesečna vstopnica za uporabo bazena, za največ tri ure dnevno, v času obratovanja za rekreacijo, v obdobju 30. dni od dneva nakupa. Vstopnico lahko kupijo: (1) otroci do 15. leta starosti, (2) študenti z indeksom ali dijaško izkaznico, (3) upokojenci s potrdilom o pokojnini ali izkaznico upokojenskega društva in (4) invalidi z invalidsko izkaznico. </t>
  </si>
  <si>
    <t xml:space="preserve">Letna vstopnica za uporabo Pokritega olimpijskega bazena in Letnega kopališča v Kranju, za največ tri ure dnevno, v času obratovanja za rekreacijo, v obdobju enega leta od dneva nakupa. Vstopnico lahko kupijo: (1) otroci do 15. leta starosti, (2) študenti z indeksom ali dijaško izkaznico, (3) upokojenci s potrdilom o pokojnini ali izkaznico upokojenskega društva in (4) invalidi z invalidsko izkaznico. </t>
  </si>
  <si>
    <t>Podaljšanje veljavnosti zapadlih dnevnih vstopnic.</t>
  </si>
  <si>
    <t>VSTOPNICA ZA NOČNO KOPANJE V POKRITEM OLIMPIJSKEM BAZENU</t>
  </si>
  <si>
    <t>Najem teniškega igrišča za eno uro, v popoldanskem času, za druge kupce.</t>
  </si>
  <si>
    <t>Najem teniškega igrišča za eno uro, v dopoldanskem času, za dijake, študente in upokojence.</t>
  </si>
  <si>
    <t>Najem teniškega igrišča za eno uro, v popoldanskem času, za dijake, študente in upokojence.</t>
  </si>
  <si>
    <t>050400</t>
  </si>
  <si>
    <t>050401</t>
  </si>
  <si>
    <t>050402</t>
  </si>
  <si>
    <t>Najem teniškega igrišča za eno uro, v dopoldanskem času, za domicilna športna društva.</t>
  </si>
  <si>
    <t>Najem teniškega igrišča za eno uro, v popoldanskem času, za domicilna športna društva.</t>
  </si>
  <si>
    <t>050500</t>
  </si>
  <si>
    <t>050501</t>
  </si>
  <si>
    <t>050502</t>
  </si>
  <si>
    <t>050600</t>
  </si>
  <si>
    <t>050601</t>
  </si>
  <si>
    <t>050602</t>
  </si>
  <si>
    <t>Najem kolesarske steze za vadbo, za eno uro, za druge kupce.</t>
  </si>
  <si>
    <t>Najem kolesarske steze za tekmo, za eno uro, za druge kupce.</t>
  </si>
  <si>
    <t>Najem kolesarske steze za vadbo, za eno uro, za domicilna športna društva.</t>
  </si>
  <si>
    <t>Najem kolesarske steze za tekmo, za eno uro, za domicilna športna društva.</t>
  </si>
  <si>
    <t xml:space="preserve">Najem 16 metrske proge v malem bazenu za vadbo, za eno uro, za druge kupce. </t>
  </si>
  <si>
    <t xml:space="preserve">Najem 25 metrske proge v velikem bazenu za vadbo, za eno uro, za druge kupce. </t>
  </si>
  <si>
    <t xml:space="preserve">Najem 50 metrske proge v velikem bazenu za vadbo, za eno uro, za druge kupce. </t>
  </si>
  <si>
    <t xml:space="preserve">Najem malega bazena za vadbo, za eno uro, za druge kupce. </t>
  </si>
  <si>
    <t xml:space="preserve">Najem velikega bazena za vadbo, za eno uro, za druge kupce. </t>
  </si>
  <si>
    <t xml:space="preserve">Najem velikega bazena za tekmo in tribun za gledalce, za eno uro, za druge kupce. </t>
  </si>
  <si>
    <t xml:space="preserve">Najem 16 metrske proge v malem bazenu za vadbo, za eno uro, za domicilna športna društva. </t>
  </si>
  <si>
    <t xml:space="preserve">Najem 25 metrske proge v velikem bazenu za vadbo, za eno uro, za domicilna športna društva. </t>
  </si>
  <si>
    <t xml:space="preserve">Najem 50 metrske proge v malem bazenu za vadbo, za eno uro, za domicilna športna društva. </t>
  </si>
  <si>
    <t xml:space="preserve">Najem malega bazena za vadbo, za eno uro, za domicilna športna društva. </t>
  </si>
  <si>
    <t xml:space="preserve">Najem velikega bazena za vadbo, za eno uro, za domicilna športna društva. </t>
  </si>
  <si>
    <t xml:space="preserve">Najem velikega bazena za tekmo in tribun za gledalce, za eno uro, za domicilna športna društva. </t>
  </si>
  <si>
    <t xml:space="preserve">Najem 16 metrske proge v malem bazenu za vadbo, za eno uro, za vrtce in šole. </t>
  </si>
  <si>
    <t xml:space="preserve">Najem 25 metrske proge v velikem bazenu za vadbo, za eno uro, za vrtce in šole. </t>
  </si>
  <si>
    <t xml:space="preserve">Najem 50 metrske proge v velikem bazenu za vadbo, za eno uro, za vrtce in šole. </t>
  </si>
  <si>
    <t xml:space="preserve">Najem malega bazena za vadbo, za eno uro, za vrtce in šole. </t>
  </si>
  <si>
    <t xml:space="preserve">Najem velikega bazena za vadbo, za eno uro, za vrtce in šole. </t>
  </si>
  <si>
    <t xml:space="preserve">Najem velikega bazena za tekmo in tribun za gledalce, za eno uro, za vrtce in šole. </t>
  </si>
  <si>
    <t xml:space="preserve">Najem 50 metrske proge v bazenu za vadbo, za eno uro, za druge kupce. </t>
  </si>
  <si>
    <t xml:space="preserve">Najem 30m bazena za vadbo, za eno uro, za druge kupce. </t>
  </si>
  <si>
    <t xml:space="preserve">Najem 50 m bazena za vadbo, za eno uro, za druge kupce. </t>
  </si>
  <si>
    <t>Najem 50 m bazena za tekmo s tribunami za gledalce, za eno uro, za druge kupce.</t>
  </si>
  <si>
    <t xml:space="preserve">Najem ene tretjine (1/3) dvorane za vadbo, za eno uro, za druge kupce. </t>
  </si>
  <si>
    <t xml:space="preserve">Najem ene tretjine (1/3) dvorane za tekmo s tribunami za gledalce, za eno uro, za druge kupce. </t>
  </si>
  <si>
    <t xml:space="preserve">Najem dvorane za vadbo, za eno uro, za druge kupce. </t>
  </si>
  <si>
    <t xml:space="preserve">Najem dvorane za tekmo s tribunami za gledalce, za eno uro, za druge kupce. </t>
  </si>
  <si>
    <t xml:space="preserve">Najem ene tretjine (1/3) dvorane za vadbo, za eno uro, za domicilna športna društva. </t>
  </si>
  <si>
    <t xml:space="preserve">Najem ene tretjine (1/3) dvorane za tekmo s tribunami za gledalce, za eno uro, za domicilna športna društva. </t>
  </si>
  <si>
    <t xml:space="preserve">Najem dvorane za vadbo, za eno uro, za domicilna športna društva. </t>
  </si>
  <si>
    <t>Najem dvorane za tekmo s tribunami za gledalce, za eno uro, za domicilna športna društva.</t>
  </si>
  <si>
    <t xml:space="preserve">Najem ene tretjine (1/3) dvorane za vadbo, za eno uro, za vrtce in šole. </t>
  </si>
  <si>
    <t xml:space="preserve">Najem ene tretjine (1/3) dvorane za tekmo s tribunami za gledalce, za eno uro, za vrtce in šole. </t>
  </si>
  <si>
    <t xml:space="preserve">Najem dvorane za vadbo, za eno uro, za vrtce in šole. </t>
  </si>
  <si>
    <t xml:space="preserve">Najem dvorane za tekmo s tribunami za gledalce, za eno uro, za vrtce in šole. </t>
  </si>
  <si>
    <t xml:space="preserve">Najem dvorane za komercialno prireditev, za eno uro, za druge kupce. </t>
  </si>
  <si>
    <t xml:space="preserve">Najem dvorane za dobrodelno prireditev, za eno uro, za druge kupce. </t>
  </si>
  <si>
    <t xml:space="preserve">Najem dvorane za komercialno prireditev, za eno uro, za domicilna športna društva. </t>
  </si>
  <si>
    <t xml:space="preserve">Najem dvorane za klubsko ali dobrodelno prireditev, za eno uro, za domicolna športna društva. </t>
  </si>
  <si>
    <t xml:space="preserve">Najem dvorane za komercialno prireditev, za eno uro, za vrtce in šole. </t>
  </si>
  <si>
    <t xml:space="preserve">Najem dvorane za dobrodelno prireditev, za eno uro, za vrtce in šole. </t>
  </si>
  <si>
    <t xml:space="preserve">Najem ene tretjine (1/3) dvorane za vadbo ali tekmo, za eno uro, za OŠ Jakoba Aljaža. </t>
  </si>
  <si>
    <t xml:space="preserve">Najem ene tretjine (1/3) dvorane za vadbo ali tekmo, za eno uro, za srednje šole v Kranju. </t>
  </si>
  <si>
    <t xml:space="preserve">Najem atletske steze za vadbo, za eno uro, za druge kupce. </t>
  </si>
  <si>
    <t xml:space="preserve">Najem atletske steze, skakališča in metališča za vadbo, za eno uro, za druge kupce. </t>
  </si>
  <si>
    <t xml:space="preserve">Najem atletske steze s tribuno za tekmo, za eno uro, za druge kupce. </t>
  </si>
  <si>
    <t xml:space="preserve">Najem atletske steze, skakališča in metališča za tekmo in tribune za gledalce, za eno uro, za druge kupce. </t>
  </si>
  <si>
    <t>Najem atletske steze za vadbo, za eno uro, za domicilna športna društva.</t>
  </si>
  <si>
    <t xml:space="preserve">Najem atletske steze, skakališča in metališča za vadbo, za eno uro, za domicilna športna društva. </t>
  </si>
  <si>
    <t xml:space="preserve">Najem atletske steze, skakališča in metališča za tekmo in tribune za gledalce, za eno uro, za domicilna športna društva. </t>
  </si>
  <si>
    <t xml:space="preserve">Najem atletske steze za vadbo, za eno uro, za vrtce in šole. </t>
  </si>
  <si>
    <t xml:space="preserve">Najem atletske steze, skakališča in metališča za vadbo, za eno uro, za vrtce in šole. </t>
  </si>
  <si>
    <t xml:space="preserve">Najem atletske steze za tekmo, za eno uro, za vrtce in šole.  </t>
  </si>
  <si>
    <t xml:space="preserve">Najem atletske steze, skakališča in metališča za tekmo in tribune za gledalce, za eno uro, za vrtce in šole.  </t>
  </si>
  <si>
    <t xml:space="preserve">Najem telovadnice v glavni tribuni, za eno uro, za druge kupce. </t>
  </si>
  <si>
    <t xml:space="preserve">Najem telovadnice v glavni tribuni, za eno uro, za domicilna športna društva. </t>
  </si>
  <si>
    <t xml:space="preserve">Najem nogometnega igrišča za vadbo, za eno uro, za druge kupce. </t>
  </si>
  <si>
    <t xml:space="preserve">Najem nogometnega igrišča za tekmo, za eno uro, za druge kupce. </t>
  </si>
  <si>
    <t xml:space="preserve">Najem nogometnega igrišča za vadbo, za eno uro, za domicilna športna društva. </t>
  </si>
  <si>
    <t xml:space="preserve">Najem nogometnega igrišča za tekmo, za eno uro, za domicilna športna društva. </t>
  </si>
  <si>
    <t xml:space="preserve">Najem pomožnega nogometnega igrišča za vadbo, za eno uro, za druge kupce. </t>
  </si>
  <si>
    <t xml:space="preserve">Najem pomožnega nogometnega igrišča z razsvetljavo za vadbo, za eno uro, za druge kupce. </t>
  </si>
  <si>
    <t xml:space="preserve">Najem pomožnega nogometnega igrišča za tekmo, za eno uro, za druge kupce. </t>
  </si>
  <si>
    <t xml:space="preserve">Najem pomožnega nogometnega igrišča z razsvetljavo za tekmo, za eno uro, za druge kupce. </t>
  </si>
  <si>
    <t xml:space="preserve">Najem polovice pomožnega nogometnega igrišča za tekmo, za eno uro, za druge kupce. </t>
  </si>
  <si>
    <t xml:space="preserve">Najem polovice pomožnega nogometnega igrišča z razsvetljavo za tekmo, za eno uro, za druge kupce. </t>
  </si>
  <si>
    <t xml:space="preserve">Najem pomožnega nogometnega igrišča za vadbo, za eno uro, za domicilna športna društva. </t>
  </si>
  <si>
    <t xml:space="preserve">Najem pomožnega nogometnega igrišča z razsvetljavo za vadbo, za eno uro, za domicilna športna društva. </t>
  </si>
  <si>
    <t xml:space="preserve">Najem pomožnega nogometnega igrišča za tekmo, za eno uro, za domicilna športna društva. </t>
  </si>
  <si>
    <t xml:space="preserve">Najem pomožnega nogometnega igrišča z razsvetljavo za tekmo, za eno uro, za domicilna športna društva. </t>
  </si>
  <si>
    <t xml:space="preserve">Najem polovice pomožnega nogometnega igrišča za vadbo, za eno uro, za domicilna športna društva. </t>
  </si>
  <si>
    <t xml:space="preserve">Najem polovice pomožnega nogometnega igrišča z razsvetljavo za vadbo, za eno uro, za domicilna športna društva. </t>
  </si>
  <si>
    <t xml:space="preserve">Najem polovice  pomožnega nogometnega igrišča za tekmo, za eno uro, za domicilna športna društva. </t>
  </si>
  <si>
    <t xml:space="preserve">Najem polovice pomožnega nogometnega igrišča z razsvetljavo za tekmo, za eno uro, za domicilna športna društva. </t>
  </si>
  <si>
    <t xml:space="preserve">Najem asfaltnega igrišča za vadbo, za eno uro, za druge kupce. </t>
  </si>
  <si>
    <t xml:space="preserve">Najem asfaltnega igrišča za tekmo, za eno uro, za druge kupce. </t>
  </si>
  <si>
    <t xml:space="preserve">Najem asfaltnega igrišča za vadbo, za eno uro, za domicilna športna društva. </t>
  </si>
  <si>
    <t xml:space="preserve">Najem asfaltnega igrišča za tekmo, za eno uro, za domicilna športna društva. </t>
  </si>
  <si>
    <t>Najem 50 m bazena s tribunami za tekmovanja, za eno uro za druge kupce. Znesek je cena brez DDV. (TC x 20,00001).</t>
  </si>
  <si>
    <t>Najem 50 metrske proge v bazenu za vadbo, za eno uro za vrtce in šole. Znesek je cena brez DDV. (TC x 3,15  x 0,444444).</t>
  </si>
  <si>
    <t>Najem 30m bazena za vadbo, za eno uro za vrtce in šole. Znesek je cena brez DDV. (TC x 5,6).</t>
  </si>
  <si>
    <t>Najem 50 m bazena za vadbo, za eno uro za vrtce in šole. Znesek je cena brez DDV. (TC x 16,66667).</t>
  </si>
  <si>
    <t>Najem 50 m bazena za tekmo s tribunami za gledalce, za eno uro za vrtce in šole. Znesek je cena brez DDV. (TC x 22,26668).</t>
  </si>
  <si>
    <t>Najem Letnega kopališča Kranj za komercialno prireditev za eno uro, za druge kupce. Znesek je cena brez DDV. (TC x 100,00005).</t>
  </si>
  <si>
    <t>Najem Letnega kopališča Kranj za komercialno prireditev za eno uro, za domicilna športna društva. Znesek je cena brez DDV. (TC x 50,00003).</t>
  </si>
  <si>
    <t>Najem Letnega kopališča Kranj za komercialno prireditev za eno uro, za vrtce in šole. Znesek je cena brez DDV. (TC x 60,00004).</t>
  </si>
  <si>
    <t>Najem dvorane za vadbo, za eno uro za druge kupce. Znesek je cena brez DDV. (TC x 16,46667).</t>
  </si>
  <si>
    <t>Najem dvorane za tekmo s tribunami za gledalce, za eno uro za druge kupce. Znesek je cena brez DDV. (TC x 33,00002).</t>
  </si>
  <si>
    <t>Najem dvorane za vadbo, za eno uro za domicilna športna društva. Znesek je cena brez DDV. (TC x 8,266666).</t>
  </si>
  <si>
    <t>Najem dvorane za tekmo s tribunami za gledalce, za eno uro za vrtce in šole. Znesek je cena brez DDV. (TC x 18,50002).</t>
  </si>
  <si>
    <t>Najem dvorane za komercialno prireditev, za eno uro za druge kupce. Znesek je cena brez DDV. (TC x 200,00011).</t>
  </si>
  <si>
    <t>Najem dvorane za dobrodelno prireditev, za eno uro za druge kupce. Znesek je cena brez DDV. (TC x 30,000019).</t>
  </si>
  <si>
    <t>Najem dvorane za komercialno prireditev, za eno uro za domicilna športna društva. Znesek je cena brez DDV. (TC x 100,00006).</t>
  </si>
  <si>
    <t>Najem dvorane za klubsko ali dobrodelno prireditev, za eno uro za domicolna športna društva. Znesek je cena brez DDV. (TC x 20,00001).</t>
  </si>
  <si>
    <t>Najem dvorane za komercialno prireditev, za eno uro za vrtce in šole. Znesek je cena brez DDV. (TC x 100,00006).</t>
  </si>
  <si>
    <t>Najem dvorane za dobrodelno prireditev, za eno uro za vrtce in šole. Znesek je cena brez DDV. (TC x 20,00001).</t>
  </si>
  <si>
    <t>Dnevna vstopnica za osebe nad 15. let starosti za uporabo bazena v času obratovanja za rekreacijo. Znesek vključuje ceno in DDV. (TC x 1,466666)</t>
  </si>
  <si>
    <t>Mesečna vstopnica za uporabo bazena v času obratovanja za rekreacijo, v obdobju 30. dni od dneva nakupa. Vstopnico lahko kupijo: (1) otroci do 15. leta starosti, (2) študenti z indeksom ali dijaško izkaznico, (3) upokojenci s potrdilom o pokojnini ali izkaznico upokojenskega društva in (4) invalidi z zdravstveno izkaznico. Znesek vključuje ceno in DDV. (TC x 30 x 0,4000001)</t>
  </si>
  <si>
    <t>Mesečna vstopnica za osebe nad 15. let starosti za uporabo bazena v času obratovanja za rekreacijo, v obdobju 30.dni od dneva nakupa.Znesek vključuje ceno in DDV. (TC x 1,50 x 30 x 0,4000001)</t>
  </si>
  <si>
    <t>Vstopnica za družine z najmanj tremi člani, za 12 obiskov bazena v času obratovanja za rekreacijo, v obdobju 60.dni od dneva nakupa. Doplačilo za vsako dodatno osebo je  4.752,00 SIT.  Znesek vključuje ceno in DDV. (TC x 3 x 12 x 0,60000018)</t>
  </si>
  <si>
    <t>Mesečna vstopnica za družine z najmanj tremi člani, za uporabo bazena v času obratovanja za rekreacijo, v obdobju 30.dni, od dneva nakupa. Doplačilo za vsako dodatno osebo je  7.920,00 SIT.  Znesek vključuje ceno in DDV. (TC x 3 x 30 x 0,4000015)</t>
  </si>
  <si>
    <t>Letna vstopnica za uporabo Pokritega olimpijskega bazena in Letnega kopališča v Kranju v času obratovanja za rekreacijo, v obdobju enega leta od dneva nakupa. Vstopnico lahko kupijo: (1) otroci do 15. leta starosti, (2) študenti z indeksom ali dijaško izkaznico, (3) upokojenci s potrdilom o pokojnini ali izkaznico upokojenskega društva in (4) invalidi z zdravstveno izkaznico. Znesek vključuje ceno in DDV. (TC x 365 x 0,1972604)</t>
  </si>
  <si>
    <t>Letna vstopnica za osebe nad 15. let starosti za uporabo Pokritega olimpijskega bazena in Letnega kopališča v Kranju v času obratovanja za rekreacijo, v obdobju enega leta od dneva nakupa. Znesek vključuje ceno in DDV. (TC x 1,50 x 365 x 0,1996957)</t>
  </si>
  <si>
    <t>Letna vstopnica za družine z najmanj tremi člani, za uporabo POB in Letnega kopališča v Kranju v času obratovanja za rekreacijo, v obdobju enega leta od dneva nakupa. Doplačilo za vsako dodatno osebo je  48.180,00 SIT.  Znesek vključuje ceno in DDV. (TCx1,50x365x0,1996975x2)</t>
  </si>
  <si>
    <t>Dnevna vstopnica za organizirane skupine od 50 do 200 članov, za uporabo bazena v času obratovanja za rekreacijo. Znesek vključuje ceno in DDV. (TC x 0,74667)</t>
  </si>
  <si>
    <t>Dnevna vstopnica za vrtce, šole, študente, invalide, upokojenska in humanitarna društva, za organizirane skupine nad 20 članov. Znesek vključuje ceno in DDV. (TC x 0,64)</t>
  </si>
  <si>
    <t>Najem 16 metrske proge v malem bazenu za vadbo, za eno uro za druge kupce. Znesek je cena brez DDV. (TC x 3,14667).</t>
  </si>
  <si>
    <t>Najem 25 metrske proge v velikem bazenu za vadbo, za eno uro za druge kupce. Znesek je cena brez DDV. (TC x 3,14667).</t>
  </si>
  <si>
    <t>Najem malega bazena za vadbo, za eno uro za druge kupce. Znesek je cena brez DDV. (TC x 12,00001).</t>
  </si>
  <si>
    <t>Najem velikega bazena za vadbo, za eno uro za druge kupce. Znesek je cena brez DDV. (TC x 50,00003).</t>
  </si>
  <si>
    <t>Družine (3 osebe)</t>
  </si>
  <si>
    <t>Vstopnica za osebe nad 15. let starosti za 12 obiskov bazena, za največ tri ure dnevno, v času obratovanja za rekreacijo, v obdobju 365.dni od dneva nakupa.</t>
  </si>
  <si>
    <t xml:space="preserve">Dnevna vstopnica za osebe nad 15. let starosti za uporabo bazena za največ tri ure, v času obratovanja za rekreacijo. Znesek vključuje ceno in DDV. </t>
  </si>
  <si>
    <t xml:space="preserve">Dnevna vstopnica za uporabo bazena, za največ tri ure za udeležence programov, v času jesenskih, novoletnih in zimskih počitnic ter drugih posebnih programov. </t>
  </si>
  <si>
    <t>Mesečna vstopnica za osebe nad 15. let starosti za uporabo bazena, za največ tri ure dnevno, v času obratovanja za rekreacijo, v obdobju 30.dni od dneva nakupa.</t>
  </si>
  <si>
    <t xml:space="preserve">Letna vstopnica za osebe nad 15. let starosti za uporabo Pokritega olimpijskega bazena in Letnega kopališča v Kranju, za največ tri ure dnevno, v času obratovanja za rekreacijo, v obdobju enega leta od dneva nakupa. </t>
  </si>
  <si>
    <t xml:space="preserve">Dnevna vstopnica za organizirane skupine od 50 do 200 članov, za uporabo bazena, za največ tri ure, v času obratovanja za rekreacijo. </t>
  </si>
  <si>
    <t xml:space="preserve">Dnevna vstopnica za organizirane skupine nad 200 članov, za uporabo bazena, za največ tri ure, v času obratovanja za rekreacijo. </t>
  </si>
  <si>
    <t>CENA V EVRIH</t>
  </si>
  <si>
    <t>CENA V SIT</t>
  </si>
  <si>
    <t>Dnevna vstopnica za vrtce, šole, študente, invalide, upokojenska in humanitarna društva, za organizirane skupine nad 20 članov, za uporabo bazena, za največ tri ure, v času obratovanja za rekreacijo.</t>
  </si>
  <si>
    <t>Najem velikega bazena za tekmo in tribun za gledalce, za eno uro za druge kupce. Znesek je cena brez DDV. (TC x 70,00004).</t>
  </si>
  <si>
    <t>Najem velikega bazena za vadbo, za eno uro za domicilna športna društva. Znesek je cena brez DDV. (TC x 25,00001).</t>
  </si>
  <si>
    <t>Najem velikega bazena za tekmo in tribun za gledalce, za eno uro za domicilna športna društva. Znesek je cena brez DDV. (TC x 35,00002).</t>
  </si>
  <si>
    <t>Najem velikega bazena za vadbo, za eno uro za vrtce in šole. Znesek je cena brez DDV. (TC x 29,00001).</t>
  </si>
  <si>
    <t>Najem velikega bazena za tekmo in tribun za gledalce, za eno uro za vrtce in šole. Znesek je cena brez DDV. (TC x 40,00002).</t>
  </si>
  <si>
    <t>Dnevna vstopnica za uporabo bazena v času obratovanja za rekreacijo. Vstopnico lahko kupijo: (1) otroci do 15. leta starosti, (2) študenti z indeksom ali dijaško izkaznico, (3) upokojenci s potrdilom o pokojnini ali izkaznico upokojenskega društva in (4) invalidi z zdravstveno izkaznico. Znesek vključuje ceno in DDV. (TC x 0,666666)</t>
  </si>
  <si>
    <t>Dnevna vstopnica za osebe nad 15. let starosti za uporabo bazena v času obratovanja za rekreacijo. Znesek vključuje ceno in DDV. (TC x 1,50 x 0,711115)</t>
  </si>
  <si>
    <t>Dnevna vstopnica za družine z najmanj tremi člani, za uporabo bazena v času obratovanja za rekreacijo. Doplačilo za vsako dodatno osebo je  660,00 SIT.  Znesek vključuje ceno in DDV. (TC x 1,466666 x 2)</t>
  </si>
  <si>
    <t>Dnevna vstopnica za družine z najmanj tremi člani, za uporabo bazena v času obratovanja za rekreacijo. Doplačilo za vsako dodatno osebo je  460,01 SIT.  Znesek vključuje ceno in DDV. (TC x 1,50 x 0,7111115 x 2)</t>
  </si>
  <si>
    <t>Popoldanska vstopnica za uporabo bazena v času obratovanja za rekreacijo, po 14. uri. Vstopnico lahko kupijo: (1) otroci do 15. leta starosti, (2) študenti z indeksom ali dijaško izkaznico, (3) upokojenci s potrdilom o pokojnini ali izkaznico upokojenskega društva in (4) invalidi z zdravstveno izkaznico. Znesek vključuje ceno in DDV. (TC x 0,58333 x 0,80)</t>
  </si>
  <si>
    <t>Popoldanska vstopnica za osebe nad 15. let starosti za uporabo bazena v času obratovanja za rekreacijo, po 14. uri. Znesek vključuje ceno in DDV. (TC x 1,50 x 0,666666 x 0,80)</t>
  </si>
  <si>
    <t>Popoldanska vstopnica za družine z najmanj tremi člani, za uporabo bazena v času obratovanja za rekreacijo, po 14. uri. Doplačilo za vsako dodatno osebo je  370,00 SIT.  Znesek vključuje ceno in DDV. (TC x 1,50 x 0,666666 x 0,80 x 2)</t>
  </si>
  <si>
    <t>Vstopnica za 12 obiskov bazena v času obratovanja za rekreacijo, v obdobju 60. dni od dneva nakupa. Vstopnico lahko kupijo: (1) otroci do 15. leta starosti, (2) študenti z indeksom ali dijaško izkaznico, (3) upokojenci s potrdilom o pokojnini ali izkaznico upokojenskega društva in (4) invalidi z zdravstveno izkaznico. Znesek vključuje ceno in DDV. (TC x 0,6 x 0,80 x 10)</t>
  </si>
  <si>
    <t>Vstopnica za osebe nad 15. let starosti za 12 obiskov bazena v času obratovanja za rekreacijo, v obdobju 60.dni od dneva nakupa. Znesek vključuje ceno in DDV. (TC x 1,50 x 0,6 x 0,80 x 10)</t>
  </si>
  <si>
    <t>Vstopnica za družine z najmanj tremi člani, za 12 obiskov bazena v času obratovanja za rekreacijo, v obdobju 60.dni, od dneva nakupa. Doplačilo za vsako dodatno osebo je  4.000,00 SIT.  Znesek vključuje ceno in DDV. (TC x 1,50 x 0,6000001 x 10 x 2)</t>
  </si>
  <si>
    <t>Cenik Zavoda za šport Kranj - Zfin6000-04 - stran 01</t>
  </si>
  <si>
    <t>Cenik Zavoda za šport Kranj - stran 02</t>
  </si>
  <si>
    <t xml:space="preserve"> Cenik Zavoda za šport Kranj - stran 03</t>
  </si>
  <si>
    <t xml:space="preserve"> Cenik Zavoda za šport Kranj - stran 04</t>
  </si>
  <si>
    <t>Cenik Zavoda za šport Kranj - stran 05</t>
  </si>
  <si>
    <t>Cenik Zavoda za šport Kranj - stran 06</t>
  </si>
  <si>
    <t xml:space="preserve"> Cenik Zavoda za šport Kranj - stran 07</t>
  </si>
  <si>
    <t>Cenik Zavoda za šport Kranj - stran 08</t>
  </si>
  <si>
    <t>Cenik Zavoda za šport Kranj - stran 09</t>
  </si>
  <si>
    <t>Mesečna vstopnica za uporabo bazena v času obratovanja za rekreacijo, v obdobju 30. dni od dneva nakupa. Vstopnico lahko kupijo: (1) otroci do 15. leta starosti, (2) študenti z indeksom ali dijaško izkaznico, (3) upokojenci s potrdilom o pokojnini ali izkaznico upokojenskega društva in (4) invalidi z zdravstveno izkaznico. Znesek vključuje ceno in DDV. (TC x 0,6555555 x 30 x 0,40)</t>
  </si>
  <si>
    <t xml:space="preserve">Najem vadbenega prostora za vadbo, za eno uro za domicilna športna društva. </t>
  </si>
  <si>
    <t>Sezonska vstopnica za osebe nad 15. let starosti za uporabo letnega kopališča v času obratovanja za rekreacijo.</t>
  </si>
  <si>
    <t xml:space="preserve">Sezonska vstopnica za družine s tremi člani, za uporabo letnega kopališča v času obratovanja za rekreacijo. Doplačilo za vsako dodatno osebo je v višini cene vstopnice za otroke. </t>
  </si>
  <si>
    <t>Zneski v ceniku vključujejo ceno z DDV.</t>
  </si>
  <si>
    <t>NAJEM ATLETSKEGA STADIONA ZA VRTCE IN ŠOLE</t>
  </si>
  <si>
    <t>Najem atletske steze za vadbo, za eno uro za vrtce in šole. Znesek je cena brez DDV. (TC x 15 x 0,60).</t>
  </si>
  <si>
    <t>Telovadnica  vadba</t>
  </si>
  <si>
    <t>NAJEM TELOVADNICE V GLAVNI TRIBUNI ZA DRUGE KUPCE</t>
  </si>
  <si>
    <t>NAJEM TELOVADNICE V GLAVNI TRIBUNI ZA DOMICILNA ŠPORTNA DRUŠTVA</t>
  </si>
  <si>
    <t>040700</t>
  </si>
  <si>
    <t>040701</t>
  </si>
  <si>
    <t>040702</t>
  </si>
  <si>
    <t>Nogometno igrišče - vadba</t>
  </si>
  <si>
    <t>Nogometno igrišče - tekma</t>
  </si>
  <si>
    <t>UPORABA GLAVNEGA NOGOMETNEGA IGRIŠČA ZA DOMICILNA ŠPORTNA DRUŠTVA</t>
  </si>
  <si>
    <t>NAJEM GLAVNEGA NOGOMETNEGA IGRIŠČA ZA DRUGE KUPCE</t>
  </si>
  <si>
    <t>040800</t>
  </si>
  <si>
    <t>040801</t>
  </si>
  <si>
    <t>040802</t>
  </si>
  <si>
    <t>NAJEM POMOŽNEGA NOGOMETNEGA IGRIŠČA ZA DRUGE KUPCE</t>
  </si>
  <si>
    <t>040900</t>
  </si>
  <si>
    <t>040901</t>
  </si>
  <si>
    <t>040902</t>
  </si>
  <si>
    <t>040903</t>
  </si>
  <si>
    <t>040904</t>
  </si>
  <si>
    <t>Pom. nogomet. igrišče-vadba 1</t>
  </si>
  <si>
    <t>Pom. nogomet. igrišče-vadba 2</t>
  </si>
  <si>
    <t>Najem 50 metrske proge v velikem bazenu za vadbo, za eno uro za vrtce in šole. Znesek je cena brez DDV. (TC x 3,00).</t>
  </si>
  <si>
    <t>NAJEM DVORANE PLANINA KRANJ ZA VRTCE IN ŠOLE V MESTNI OBČINI KRANJ</t>
  </si>
  <si>
    <t>Najem enega (1) m2 montažnega odra za en dan, brez postavitve, za druge kupce. Znesek je cena brez DDV. (TC x 1,67105).</t>
  </si>
  <si>
    <t>Cenik začne veljati od 1. septembra 2002.</t>
  </si>
  <si>
    <t>CENIK STORITEV ZAVODA ZA ŠPORT KRANJ (01.09.2002)</t>
  </si>
  <si>
    <t>NAJEM POKRITEGA OLIMPIJSKEGA BAZENA ZA VRTCE IN ŠOLE IZ MESTNE OBČINE KRANJ</t>
  </si>
  <si>
    <t>Pom. nogomet. igrišče-tekma 1</t>
  </si>
  <si>
    <t>Pom. nogomet. igrišče-tekma 2</t>
  </si>
  <si>
    <t>041000</t>
  </si>
  <si>
    <t>041001</t>
  </si>
  <si>
    <t>041002</t>
  </si>
  <si>
    <t>041003</t>
  </si>
  <si>
    <t>041004</t>
  </si>
  <si>
    <t>Najem pomožnega nogometnega igrišča za vadbo, za eno uro za domicilna športna društva. Znesek je cena brez DDV. (TC x 8).</t>
  </si>
  <si>
    <t>UPORABA POMOŽNEGA NOGOMETNEGA IGRIŠČA ZA DOMICILNA ŠPORTNA DRUŠTVA</t>
  </si>
  <si>
    <t>041100</t>
  </si>
  <si>
    <t>041101</t>
  </si>
  <si>
    <t>041102</t>
  </si>
  <si>
    <t>NAJEM ASFALTNEGA IGRIŠČA ZA DRUGE KUPCE</t>
  </si>
  <si>
    <t>Asfaltno igrišče vadba</t>
  </si>
  <si>
    <t>Asfaltno igrišče tekma</t>
  </si>
  <si>
    <t>041200</t>
  </si>
  <si>
    <t>041201</t>
  </si>
  <si>
    <t>041202</t>
  </si>
  <si>
    <t>Najem asfaltnega igrišča za vadbo, za eno uro za druge kupce. Znesek je cena brez DDV. (TC x 5).</t>
  </si>
  <si>
    <t>Najem asfaltnega igrišča za tekmo, za eno uro za druge kupce. Znesek je cena brez DDV. (TC x 7).</t>
  </si>
  <si>
    <t>Najem asfaltnega igrišča za vadbo, za eno uro za domicilna športna društva. Znesek je cena brez DDV. (TC x 2,5).</t>
  </si>
  <si>
    <t>Najem asfaltnega igrišča za tekmo, za eno uro za domicilna športna društva. Znesek je cena brez DDV. (TC x 3,5).</t>
  </si>
  <si>
    <t>NAJEM ASFALTNEGA IGRIŠČA ZA DOMICILNA ŠPORTNA DRUŠTVA</t>
  </si>
  <si>
    <t>Vrtci, šole, upokojenci, invalidi, humanitar. dr.</t>
  </si>
  <si>
    <t>NAJEM POSLOVNEGA PROSTORA ZA DOMICILNA ŠPORTNA DRUŠTVA</t>
  </si>
  <si>
    <t>Cenik se praviloma spremeni, ko se spremenijo maloprodajne cene v Sloveniji oziroma cene glavnih energentov, proizvodov in storitev, ki jih nabavlja zavod, za več kot 5%.</t>
  </si>
  <si>
    <t>Vstopnica za osebe nad 15. let starosti za 12 obiskov bazena v času obratovanja za rekreacijo, v obdobju 60.dni od dneva nakupa.Znesek vključuje ceno in DDV. (TC x 1,5 x 12 x 0,60)</t>
  </si>
  <si>
    <t>Najem 50 metrske proge v velikem bazenu za vadbo, za eno uro za druge kupce. Znesek je cena brez DDV. (TC x 6,30).</t>
  </si>
  <si>
    <t>Najem 16 metrske proge v malem bazenu za vadbo, za eno uro za domicilna športna društva. Znesek je cena brez DDV. (TC x 1,30).</t>
  </si>
  <si>
    <t>Najem 25 metrske proge v velikem bazenu za vadbo, za eno uro za domicilna športna društva. Znesek je cena brez DDV. (TC x 1,30).</t>
  </si>
  <si>
    <t>040600</t>
  </si>
  <si>
    <t>040601</t>
  </si>
  <si>
    <t xml:space="preserve">Najem atletskega metališča, za eno uro, za druge kupce. </t>
  </si>
  <si>
    <t xml:space="preserve">Najem atletskega metališča, za eno uro, za domicilna športna društva. </t>
  </si>
  <si>
    <t>CENA V EUR</t>
  </si>
  <si>
    <t>Najem 50 metrske proge v malem bazenu za vadbo, za eno uro za domicilna športna društva. Znesek je cena brez DDV. (TC x 2,60).</t>
  </si>
  <si>
    <t>Najem malega bazena za vadbo, za eno uro za domicilna športna društva. Znesek je cena brez DDV. (TC x 6,00).</t>
  </si>
  <si>
    <t>Najem 16 metrske proge v malem bazenu za vadbo, za eno uro za vrtce in šole. Znesek je cena brez DDV. (TC x 1,50).</t>
  </si>
  <si>
    <t>Najem 25 metrske proge v velikem bazenu za vadbo, za eno uro za vrtce in šole. Znesek je cena brez DDV. (TC x 1,50).</t>
  </si>
  <si>
    <t>Najem malega bazena za vadbo, za eno uro za vrtce in šole. Znesek je cena brez DDV. (TC x 7,00).</t>
  </si>
  <si>
    <t>Najem 30m bazena za vadbo, za eno uro za druge kupce. Znesek je cena brez DDV. (TC x 10,00).</t>
  </si>
  <si>
    <t>Najem 30m bazena za vadbo, za eno uro za domicilna športna društva. Znesek je cena brez DDV. (TC x 5,00).</t>
  </si>
  <si>
    <t>Najem Letnega kopališča Kranj za klubsko ali dobrodelno prireditev za eno uro, za domicilna športna društva. Znesek je cena brez DDV. (TC x 5,00).</t>
  </si>
  <si>
    <t>Najem Letnega kopališča Kranj za dobrodelno prireditev za eno uro, za vrtce in šole. Znesek je cena brez DDV. (TC x 6,00).</t>
  </si>
  <si>
    <t>Najem dvorane za tekmo s tribunami za gledalce, za eno uro za domicilna športna društva. Znesek je cena brez DDV. (TC x 16,50).</t>
  </si>
  <si>
    <t>UPORABA ATLETSKEGA STADIONA ZA DOMICILNA ŠPORTNA DRUŠTVA</t>
  </si>
  <si>
    <t>Najem atletske steze za vadbo, za eno uro za domicilna športna društva. Znesek je cena brez DDV. (TC x 15 x 0,30).</t>
  </si>
  <si>
    <t>Najem atletske steze, skakališča in metališča za vadbo, za eno uro za domicilna športna društva. Znesek je cena brez DDV. (TC x 20 x 0,30).</t>
  </si>
  <si>
    <t>Najem atletske steze za tekmo za eno uro, za domicilna športna društva. Znesek je cena brez DDV. (TC x 25 x 0,30).</t>
  </si>
  <si>
    <t>Najem atletske steze, skakališča in metališča za tekmo in tribune za gledalce, za eno uro za domicilna športna društva. Znesek je cena brez DDV. (TC x 30 x 0,30).</t>
  </si>
  <si>
    <t>Najem telovadnice v glavni tribuni, za eno uro za druge kupce. Znesek je cena brez DDV. (TC x 6,00).</t>
  </si>
  <si>
    <t>Najem telovadnice v glavni tribuni, za eno uro za domicilna športna društva. Znesek je cena brez DDV. (TC x 3,00).</t>
  </si>
  <si>
    <t>Najem pomožnega nogometnega igrišča z razsvetljavo za vadbo, za eno uro za domicilna športna društva. Znesek je cena brez DDV. (TC x 10).</t>
  </si>
  <si>
    <t>Najem enega (1) m2 gostinskega lokala z opremo za opravljanje gostinske dejavnosti, na mesec za druge kupce. Znesek je cena brez DDV. (TC x 6,00).</t>
  </si>
  <si>
    <t>Najem enega (1) m2 gostinskega lokala z opremo za opravljanje gostinske dejavnosti na odprtem prostoru, na mesec za druge kupce. Znesek je cena brez DDV. (TC x 3,00).</t>
  </si>
  <si>
    <t>Najem enega (1) m2 gostinskega lokala brez opreme za opravljanje gostinske dejavnosti, na mesec za druge kupce. Znesek je cena brez DDV. (TC x 4,00).</t>
  </si>
  <si>
    <t>Najem enega (1) m2 trgovskega lokala z opremo za opravljanje trgovske dejavnosti, na mesec za druge kupce. Znesek je cena brez DDV. (TC x 3,00).</t>
  </si>
  <si>
    <t>Najem enega (1) m2 trgovskega lokala brez opreme za opravljanje trgovske dejavnosti, na mesec za druge kupce. Znesek je cena brez DDV. (TC x 2,50).</t>
  </si>
  <si>
    <t xml:space="preserve">POSLOVNI PROSTORI V ŠPORTNIH OBJEKTIH </t>
  </si>
  <si>
    <t>Najem enega (1) m2 pisarne z opremo na ugodni lokaciji, na mesec za druge kupce. Znesek je cena brez DDV. (TC x 4,50).</t>
  </si>
  <si>
    <t>Najem enega (1) m2 pisarne brez opreme na ugodni lokaciji, na mesec za druge kupce. Znesek je cena brez DDV. (TC x 3,00).</t>
  </si>
  <si>
    <t>Najem enega (1) m2 pisarne brez opreme na neugodni lokaciji, na mesec za druge kupce. Znesek je cena brez DDV. (TC x 1,50).</t>
  </si>
  <si>
    <t>Najem enega (1) m2 poslovnega prostora za skladišče na ugodni lokaciji, na mesec za druge kupce. Znesek je cena brez DDV. (TC x 1,00).</t>
  </si>
  <si>
    <t>Najem enega (1) m2 poslovnega prostora za skladišče na neugodni lokaciji, na mesec za druge kupce. Znesek je cena brez DDV. (TC x 0,50).</t>
  </si>
  <si>
    <t>Najem enega (1) m2 večnamenskega poslovnega prostora, na mesec za druge kupce. Znesek je cena brez DDV. (TC x 1,00).</t>
  </si>
  <si>
    <t>Najem enega (1) m2 gostinskega lokala z opremo za opravljanje gostinske dejavnosti, na mesec za domicilna športna društva. Znesek je cena brez DDV. (TC x 4,00).</t>
  </si>
  <si>
    <t>48 x 8 x 0,4</t>
  </si>
  <si>
    <t>4 x 30 x 0,4</t>
  </si>
  <si>
    <t>6 x 30 x 0,4</t>
  </si>
  <si>
    <t>12 x 30 x 0,4</t>
  </si>
  <si>
    <t>4 x 12 x 0,6</t>
  </si>
  <si>
    <t>72 x 8 x 0,4</t>
  </si>
  <si>
    <t>144 x 8 x 0,4</t>
  </si>
  <si>
    <t>13 x 2</t>
  </si>
  <si>
    <t>13 x 2 x 2</t>
  </si>
  <si>
    <t>13 x 2 x 2 x 3,5</t>
  </si>
  <si>
    <t>6 x 2</t>
  </si>
  <si>
    <t>6 x 2 x 2</t>
  </si>
  <si>
    <t>6 x 2 x 2 x 3,5</t>
  </si>
  <si>
    <t>6,5 x 2</t>
  </si>
  <si>
    <t>6,5 x 2 x 2</t>
  </si>
  <si>
    <t>6,5 x 2 x 2 x 3,5</t>
  </si>
  <si>
    <t>6,5 x 2 x 2 x 3,5 x 2</t>
  </si>
  <si>
    <t>13 x 2 x 2 x 3,5 x 2</t>
  </si>
  <si>
    <t>6 x 2 x 2 x 3,5 x 2</t>
  </si>
  <si>
    <t>2 x 2</t>
  </si>
  <si>
    <t>2 x 2 x 1,5</t>
  </si>
  <si>
    <t>2 x 2 x 1,5 x 2</t>
  </si>
  <si>
    <t>6 x 12 x 0,6</t>
  </si>
  <si>
    <t>12+J77 x 12 x 0,6</t>
  </si>
  <si>
    <t>3 x 12 x 0,6</t>
  </si>
  <si>
    <t>5 x 12 x 0,6</t>
  </si>
  <si>
    <t>9 x 12 x 0,6</t>
  </si>
  <si>
    <t>3 x 12 x 0,6 x 2</t>
  </si>
  <si>
    <t>5 x 12 x 0,6 x 2</t>
  </si>
  <si>
    <t>9 x 12 x 0,6 x 2</t>
  </si>
  <si>
    <t>Imetniki kupljenih vstopnic</t>
  </si>
  <si>
    <t>V predsezoni lahko upravljalec objekta uporabnikom ponudi do 40% popusta na ceno vstopnic.</t>
  </si>
  <si>
    <t>15 x 4</t>
  </si>
  <si>
    <t>15 x 4 x 2</t>
  </si>
  <si>
    <t>15 x 4 x 2 x 1,5</t>
  </si>
  <si>
    <t>7 x 4</t>
  </si>
  <si>
    <t>7 x 4 x 2</t>
  </si>
  <si>
    <t>7 x 4 x 2 x 1,5</t>
  </si>
  <si>
    <t>7,5 x 4</t>
  </si>
  <si>
    <t>7,5 x 4 x 2</t>
  </si>
  <si>
    <t>7,5 x 4 x 2 x 1,5</t>
  </si>
  <si>
    <t>25 x 1,5</t>
  </si>
  <si>
    <t>25 x 1,5 x 2</t>
  </si>
  <si>
    <t>25 x 1,5 x 2 x 1,5</t>
  </si>
  <si>
    <t>12,5 x 1,5</t>
  </si>
  <si>
    <t>12,5 x 1,5 x 2</t>
  </si>
  <si>
    <t>12,5 x 1,5 x 2 x 1,5</t>
  </si>
  <si>
    <t>13 x 1,5</t>
  </si>
  <si>
    <t>13 x 1,5 x 2</t>
  </si>
  <si>
    <t>13 x 1,5 x 2 x 1,5</t>
  </si>
  <si>
    <t>25 x 28</t>
  </si>
  <si>
    <t>25 x 28 / 4</t>
  </si>
  <si>
    <t>25 x 28 / 4 / 4</t>
  </si>
  <si>
    <t>25 x 28 / 4 x 1,5</t>
  </si>
  <si>
    <t>25 x 28 / 4 / 4 x 1,5</t>
  </si>
  <si>
    <t>50 x 1,5</t>
  </si>
  <si>
    <t>50 x 1,5 x 1,5</t>
  </si>
  <si>
    <t>50 x 1,5 x 1,5 x 1,5</t>
  </si>
  <si>
    <t>50 x 0,4</t>
  </si>
  <si>
    <t>50 x 0,4 x 1,5</t>
  </si>
  <si>
    <t>50 x 0,4 x 1,5 x 1,5</t>
  </si>
  <si>
    <t>50 x 0,4 x 1,5 x 1,5 x 1,5</t>
  </si>
  <si>
    <t>50 x 0,5</t>
  </si>
  <si>
    <t>50 x 0,5 x 1,5</t>
  </si>
  <si>
    <t>50 x 0,5 x 1,5 x 1,5</t>
  </si>
  <si>
    <t>50 x 0,5 x 1,5 x 1,5 x 1,5</t>
  </si>
  <si>
    <t>Najem enega (1) m2 gostinskega lokala brez opreme za opravljanje gostinske dejavnosti, na mesec za domicilna športna društva. Znesek je cena brez DDV. (TC x 3,00).</t>
  </si>
  <si>
    <t>Najem enega (1) m2 trgovskega lokala z opremo za opravljanje trgovske dejavnosti, na mesec za domicilna športna društva. Znesek je cena brez DDV. (TC x 2,00).</t>
  </si>
  <si>
    <t>Najem enega (1) m2 trgovskega lokala brez opreme za opravljanje trgovske dejavnosti, na mesec za domicilna športna društva. Znesek je cena brez DDV. (TC x 1,50).</t>
  </si>
  <si>
    <t>Najem enega (1) m2 pisarne z opremo na ugodni lokaciji, na mesec za domicilna športna društva. Znesek je cena brez DDV. (TC x 2,50).</t>
  </si>
  <si>
    <t>Najem enega (1) m2 pisarne brez opreme na ugodni lokaciji, na mesec za domicilna športna društva. Znesek je cena brez DDV. (TC x 3,00).</t>
  </si>
  <si>
    <t>Najem enega (1) m2 pisarne brez opreme na neugodni lokaciji, na mesec za domicilna športna društva. Znesek je cena brez DDV. (TC x 1,00).</t>
  </si>
  <si>
    <t>Najem enega (1) m2 poslovnega prostora za skladišče na ugodni lokaciji, na mesec za domicilna športna društva. Znesek je cena brez DDV. (TC x 0,60).</t>
  </si>
  <si>
    <t>Najem enega (1) m2 poslovnega prostora za skladišče na neugodni lokaciji, na mesec za domicilna športna društva. Znesek je cena brez DDV. (TC x 0,30).</t>
  </si>
  <si>
    <t>Najem enega (1) m2 večnamenskega poslovnega prostora, na mesec za domicilna športna društva. Znesek je cena brez DDV. (TC x 0,50).</t>
  </si>
  <si>
    <t>Najem enega (1) m2 gostinskega lokala z opremo za opravljanje gostinske dejavnosti na odprtem prostoru, na mesec za domicilna športna društva. Znesek je cena brez DDV. (TC x 2,00).</t>
  </si>
  <si>
    <t>Stroški, ki jih najemniki ne plačajo z najemnino, so:</t>
  </si>
  <si>
    <t>060000</t>
  </si>
  <si>
    <t>ŠPORTNI OBJEKTI V MESTNI OBČINI KRANJ</t>
  </si>
  <si>
    <t>060100</t>
  </si>
  <si>
    <t>060101</t>
  </si>
  <si>
    <t>060102</t>
  </si>
  <si>
    <t>Gostinski lokal       z opremo</t>
  </si>
  <si>
    <t>STORITEV</t>
  </si>
  <si>
    <t>Podaljšanje veljavnosti zapadlih dnevnih vstopnic za člane organiziranih skupin.</t>
  </si>
  <si>
    <t>Vsi kupci</t>
  </si>
  <si>
    <t xml:space="preserve">Vstopnica za vse kupce za nočno kopanje, za največ dve uri v času, ko kopališče obratuje za nočno rekreativno kopanje. </t>
  </si>
  <si>
    <t>020705</t>
  </si>
  <si>
    <t>020706</t>
  </si>
  <si>
    <t>010900</t>
  </si>
  <si>
    <t>010901</t>
  </si>
  <si>
    <t>010902</t>
  </si>
  <si>
    <t xml:space="preserve">Najem vadbenega prostora za vadbo, za eno uro za druge kupce. </t>
  </si>
  <si>
    <t xml:space="preserve">Vstopnica za vse kupce za nočno kopanje, za največ dve uri, v času, ko kopališče obratuje za nočno rekreativno kopanje. </t>
  </si>
  <si>
    <t>Gostinski lokal       brez opreme</t>
  </si>
  <si>
    <t>060103</t>
  </si>
  <si>
    <t>060104</t>
  </si>
  <si>
    <t>060105</t>
  </si>
  <si>
    <t>060106</t>
  </si>
  <si>
    <t>Gostinski lokal       odprt prostor</t>
  </si>
  <si>
    <t>Trgovski lokal       z opremo</t>
  </si>
  <si>
    <t>Trgovski lokal       brez opreme</t>
  </si>
  <si>
    <t>060107</t>
  </si>
  <si>
    <t>Pisarna na neugodni lokaciji</t>
  </si>
  <si>
    <t>060108</t>
  </si>
  <si>
    <t>Poslovni prostor skladišče 1</t>
  </si>
  <si>
    <t>060109</t>
  </si>
  <si>
    <t>Poslovni prostor skladišče 2</t>
  </si>
  <si>
    <t>Pisarna z opremo                          na ugodni lokaciji</t>
  </si>
  <si>
    <t>Pisarna brez opr.                          na ugodni lokaciji</t>
  </si>
  <si>
    <t>060110</t>
  </si>
  <si>
    <t>060111</t>
  </si>
  <si>
    <t>Večnamenski poslovni prostor</t>
  </si>
  <si>
    <t>Montažni oder</t>
  </si>
  <si>
    <t>SEZONSKA VSTOPNICA ZA POKRITI OLIMPIJSKI BAZEN KRANJ</t>
  </si>
  <si>
    <t>Doplačilo za prekoračitev časa 3 ur uporabe bazena, za vsakih dopolnjenih 30 minut uporabe bazena.</t>
  </si>
  <si>
    <t>NAJEM VADBENEGA PROSTORA V POKRITEM OLIMPIJSKEM BAZENU KRANJ</t>
  </si>
  <si>
    <t>VSTOPNICA ZA NOČNO KOPANJE NA LETNEM KOPALIŠČU KRANJ</t>
  </si>
  <si>
    <t>SEZONSKA VSTOPNICA ZA LETNO KOPALIŠČE KRANJ</t>
  </si>
  <si>
    <t>UPORABA TELOVADNICE V GLAVNI TRIBUNI ZA DOMICILNA ŠPORTNA DRUŠTVA</t>
  </si>
  <si>
    <t>UPORABA ATLETSKEGA METALIŠČA ZA DOMICILNA ŠPORTNA DRUŠTVA</t>
  </si>
  <si>
    <t>NAJEM ATLETSKEGA METALIŠČA ZA DRUGE KUPCE</t>
  </si>
  <si>
    <t>NAJEM POLOVICE POMOŽNEGA NOGOMETNEGA IGRIŠČA ZA DRUGE KUPCE</t>
  </si>
  <si>
    <t>UPORABA POLOVICE POMOŽNEGA NOGOMETNEGA IGRIŠČA ZA DOMICILNA ŠPORTNA DRUŠTVA</t>
  </si>
  <si>
    <t>NAJEM VEČNAMENSKEGA IGRIŠČA ZA DRUGE KUPCE</t>
  </si>
  <si>
    <t>UPORABA VEČNAMENSKEGA IGRIŠČA ZA DOMICILNA ŠPORTNA DRUŠTVA</t>
  </si>
  <si>
    <t>NAJEM TENIŠKEGA IGRIŠČA ZA DRUGE KUPCE</t>
  </si>
  <si>
    <t>UPORABA TENIŠKEGA IGRIŠČA ZA DOMICILNA ŠPORTNA DRUŠTVA</t>
  </si>
  <si>
    <t>NAJEM KOLESARSKE STEZE ZA DRUGE KUPCE</t>
  </si>
  <si>
    <t>UPORABA KOLESARSKE STEZE ZA DOMICILNA ŠPORTNA DRUŠTVA</t>
  </si>
  <si>
    <t>011000</t>
  </si>
  <si>
    <t>011001</t>
  </si>
  <si>
    <t>NAJEM INTERNETA NA INFO TOČKI V POKRITEM OLIMPIJSKEM BAZENU KRANJ</t>
  </si>
  <si>
    <t xml:space="preserve">Najem računalnika in uporaba interneta na info točki v Pokritem olimpijskem bazenu Kranj. za 15 minut. </t>
  </si>
  <si>
    <t>010105</t>
  </si>
  <si>
    <t>Dijaki in študenti</t>
  </si>
  <si>
    <t>Dnevna vstopnica za uporabo bazena za dijake in študente, za največ tri ure, ki jih kupijo v dijaških in študentskih organizacjah, mladinskih in študentskih servisih.</t>
  </si>
  <si>
    <t xml:space="preserve">Dnevna vstopnica za uporabo bazena v času obratovanja za rekreacijo. Vstopnico lahko kupijo: (1) otroci do 15. leta starosti, (2) študenti z indeksom ali dijaško izkaznico, (3) upokojenci s potrdilom o pokojnini ali izkaznico upokojenskega društva in (4) invalidi z invalidsko izkaznico. </t>
  </si>
  <si>
    <t xml:space="preserve">Popoldanska vstopnica za uporabo bazena v času obratovanja za rekreacijo, po 14. uri. Vstopnico lahko kupijo: (1) otroci do 15. leta starosti, (2) študenti z indeksom ali dijaško izkaznico, (3) upokojenci s potrdilom o pokojnini ali izkaznico upokojenskega društva in (4) invalidi z invalidsko izkaznico. </t>
  </si>
  <si>
    <t xml:space="preserve">Vstopnica za 12 obiskov bazena v času obratovanja za rekreacijo, v obdobju 60. dni od dneva nakupa. Vstopnico lahko kupijo: (1) otroci do 15. leta starosti, (2) študenti z indeksom ali dijaško izkaznico, (3) upokojenci s potrdilom o pokojnini ali izkaznico upokojenskega društva in (4) invalidi z invalidsko izkaznico. </t>
  </si>
  <si>
    <t xml:space="preserve">Sezonska vstopnica za uporabo letnega kopališča v času obratovanja za rekreacijo. Vstopnico lahko kupijo: (1) otroci do 15. leta starosti, (2) študenti z indeksom ali dijaško izkaznico, (3) upokojenci s potrdilom o pokojnini ali izkaznico upokojenskega društva in (4) invalidi z invalidsko izkaznico. </t>
  </si>
  <si>
    <t xml:space="preserve">Dnevni najem ležalnika ali senčnika za obiskovalce bazena, za uporabo na bazenu v času obratovanja za rekreacijo. </t>
  </si>
  <si>
    <t xml:space="preserve">Dnevni najem ležalnika in senčnika za obiskovalce bazena, za uporabo na bazenu v času obratovanja za rekreacijo. </t>
  </si>
  <si>
    <t>NAJEM POSLOVNEGA PROSTORA ZA DRUGE KUPCE</t>
  </si>
  <si>
    <t>060200</t>
  </si>
  <si>
    <t>060201</t>
  </si>
  <si>
    <t>060202</t>
  </si>
  <si>
    <t>060203</t>
  </si>
  <si>
    <t>060204</t>
  </si>
  <si>
    <t>060205</t>
  </si>
  <si>
    <t>060206</t>
  </si>
  <si>
    <t>060207</t>
  </si>
  <si>
    <t>060208</t>
  </si>
  <si>
    <t>060209</t>
  </si>
  <si>
    <t>060210</t>
  </si>
  <si>
    <t>060211</t>
  </si>
  <si>
    <t>070000</t>
  </si>
  <si>
    <t>070100</t>
  </si>
  <si>
    <t>070101</t>
  </si>
  <si>
    <t>070200</t>
  </si>
  <si>
    <t>070201</t>
  </si>
  <si>
    <t>NAJEM MONTAŽNEGA ODRA ZA DRUGE KUPCE</t>
  </si>
  <si>
    <t>NAJEM MONTAŽNEGA ODRA ZA DOMICILNA ŠPORTNA DRUŠTVA</t>
  </si>
  <si>
    <t>OPREMA IN REKVIZITI</t>
  </si>
  <si>
    <t>01.</t>
  </si>
  <si>
    <t>02.</t>
  </si>
  <si>
    <t xml:space="preserve">SPLOŠNA DOLOČILA </t>
  </si>
  <si>
    <t>DOLOČILA O NAJEMNINI</t>
  </si>
  <si>
    <t>Stroški, ki jih najemniki plačajo z najemnino, so:</t>
  </si>
  <si>
    <t>-</t>
  </si>
  <si>
    <t>najem poslovnega prostora ali uporaba športnega objekta,</t>
  </si>
  <si>
    <t>električna energija za razsvetljavo, računalnike in druge naprave za potrebe pisarniškega poslovanja najemnika, ne pa za prodajo storitev oziroma gostinsko dejavnost,</t>
  </si>
  <si>
    <t>ogrevanje najetih prostorov,</t>
  </si>
  <si>
    <t>uporaba sanitarij,</t>
  </si>
  <si>
    <t>uporaba garderob in tušev za športnike in rekreativce, ki uporabljajo športne objekte za vadbo in tekmovanja,</t>
  </si>
  <si>
    <t>čiščenje skupnih prostorov, ki jih souporablja najemnik ali uporabnik,</t>
  </si>
  <si>
    <t>uporaba določenega števila parkirnih mest ob športnih objektih,</t>
  </si>
  <si>
    <t>odvoz določene količine komunalnih odpadkov,</t>
  </si>
  <si>
    <t>redno vzdrževanje športnih objektov, ki so v najemu oziroma uporabi.</t>
  </si>
  <si>
    <t>uporaba poslovnega prostora ali športnega objekta, ki ni določena s pogodbo,</t>
  </si>
  <si>
    <t>električna energija za druge namene, kot je dodatna razsvetljava, uporaba aparatur in drugega, kar ni določeno s pogodbo,</t>
  </si>
  <si>
    <t>dodatna uporaba garderob in drugih prostorov ob prireditvah,</t>
  </si>
  <si>
    <t>dodatna ureditev in uporaba parkirnih mest,</t>
  </si>
  <si>
    <t>odvoz dodatnih količin odpadkov,</t>
  </si>
  <si>
    <t>telefonska najemnina in impulzi,</t>
  </si>
  <si>
    <t>čiščenje najetih prostorov,</t>
  </si>
  <si>
    <t>stroški popravil prostorov, objektov, naprav in opreme, ki so nastali zaradi njihove nepravilne uporabe s strani najemnikov ali uporabnikov.</t>
  </si>
  <si>
    <t>021200</t>
  </si>
  <si>
    <t>KUPCI</t>
  </si>
  <si>
    <t>CENA</t>
  </si>
  <si>
    <t>OPIS STORITVE</t>
  </si>
  <si>
    <t>POKRITI OLIMPIJSKI BAZEN KRANJ</t>
  </si>
  <si>
    <t>ŠT.</t>
  </si>
  <si>
    <t>DNEVNA VSTOPNICA ZA POKRITI OLIMPIJSKI BAZEN KRANJ</t>
  </si>
  <si>
    <t>Otroci, študenti, upokojenci in invalidi.</t>
  </si>
  <si>
    <t>Odrasli</t>
  </si>
  <si>
    <t>Družine (najmanj 3)</t>
  </si>
  <si>
    <t>Najemnine so določene s Pravilnikom Mestne občine Kranj o oddajanju prostorov v najem.</t>
  </si>
  <si>
    <t>VSTOPNICA ZA 12 OBISKOV ZA POKRITI OLIMPIJSKI BAZEN KRANJ</t>
  </si>
  <si>
    <t xml:space="preserve">NAZIV </t>
  </si>
  <si>
    <t>010000</t>
  </si>
  <si>
    <t>010100</t>
  </si>
  <si>
    <t>010101</t>
  </si>
  <si>
    <t>010102</t>
  </si>
  <si>
    <t>010103</t>
  </si>
  <si>
    <t>010200</t>
  </si>
  <si>
    <t>010201</t>
  </si>
  <si>
    <t>010202</t>
  </si>
  <si>
    <t>010203</t>
  </si>
  <si>
    <t>010300</t>
  </si>
  <si>
    <t>010301</t>
  </si>
  <si>
    <t>010302</t>
  </si>
  <si>
    <t>010303</t>
  </si>
  <si>
    <t>MESEČNA VSTOPNICA ZA POKRITI OLIMPIJSKI BAZEN KRANJ</t>
  </si>
  <si>
    <t>010400</t>
  </si>
  <si>
    <t>010401</t>
  </si>
  <si>
    <t>010402</t>
  </si>
  <si>
    <t>010403</t>
  </si>
  <si>
    <t>LETNA VSTOPNICA ZA POKRITI OLIMPIJSKI BAZEN KRANJ</t>
  </si>
  <si>
    <t>010500</t>
  </si>
  <si>
    <t>010501</t>
  </si>
  <si>
    <t>010502</t>
  </si>
  <si>
    <t>010503</t>
  </si>
  <si>
    <t>Organizirane skupine                     (50-200)</t>
  </si>
  <si>
    <t>Organizirane skupine                     (nad 200)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</si>
</sst>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44">
    <font>
      <sz val="10"/>
      <name val="Arial CE"/>
      <family val="0"/>
    </font>
    <font>
      <sz val="10"/>
      <name val="Arial Narrow"/>
      <family val="2"/>
    </font>
    <font>
      <sz val="6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5"/>
      <name val="Arial Narrow"/>
      <family val="2"/>
    </font>
    <font>
      <b/>
      <sz val="5"/>
      <name val="Arial Narrow"/>
      <family val="2"/>
    </font>
    <font>
      <b/>
      <sz val="6"/>
      <name val="Arial Narrow"/>
      <family val="2"/>
    </font>
    <font>
      <sz val="7"/>
      <name val="Arial Narrow"/>
      <family val="2"/>
    </font>
    <font>
      <b/>
      <sz val="18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6"/>
      <color indexed="9"/>
      <name val="Arial Narrow"/>
      <family val="2"/>
    </font>
    <font>
      <b/>
      <sz val="18"/>
      <color indexed="9"/>
      <name val="Arial Narrow"/>
      <family val="2"/>
    </font>
    <font>
      <b/>
      <sz val="14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47"/>
      <name val="Arial Narrow"/>
      <family val="2"/>
    </font>
    <font>
      <sz val="7"/>
      <color indexed="10"/>
      <name val="Arial Narrow"/>
      <family val="2"/>
    </font>
    <font>
      <sz val="6"/>
      <color indexed="10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sz val="6"/>
      <color indexed="26"/>
      <name val="Arial Narrow"/>
      <family val="2"/>
    </font>
    <font>
      <b/>
      <sz val="18"/>
      <color indexed="26"/>
      <name val="Arial Narrow"/>
      <family val="2"/>
    </font>
    <font>
      <sz val="14"/>
      <color indexed="26"/>
      <name val="Arial Narrow"/>
      <family val="2"/>
    </font>
    <font>
      <b/>
      <sz val="14"/>
      <color indexed="26"/>
      <name val="Arial Narrow"/>
      <family val="2"/>
    </font>
    <font>
      <b/>
      <sz val="10"/>
      <color indexed="26"/>
      <name val="Arial Narrow"/>
      <family val="2"/>
    </font>
    <font>
      <sz val="6"/>
      <color indexed="51"/>
      <name val="Arial Narrow"/>
      <family val="2"/>
    </font>
    <font>
      <b/>
      <sz val="18"/>
      <color indexed="51"/>
      <name val="Arial Narrow"/>
      <family val="2"/>
    </font>
    <font>
      <sz val="14"/>
      <color indexed="51"/>
      <name val="Arial Narrow"/>
      <family val="2"/>
    </font>
    <font>
      <b/>
      <sz val="14"/>
      <color indexed="51"/>
      <name val="Arial Narrow"/>
      <family val="2"/>
    </font>
    <font>
      <b/>
      <sz val="10"/>
      <color indexed="51"/>
      <name val="Arial Narrow"/>
      <family val="2"/>
    </font>
    <font>
      <sz val="6"/>
      <color indexed="42"/>
      <name val="Arial Narrow"/>
      <family val="2"/>
    </font>
    <font>
      <b/>
      <sz val="18"/>
      <color indexed="42"/>
      <name val="Arial Narrow"/>
      <family val="2"/>
    </font>
    <font>
      <sz val="14"/>
      <color indexed="42"/>
      <name val="Arial Narrow"/>
      <family val="2"/>
    </font>
    <font>
      <b/>
      <sz val="14"/>
      <color indexed="42"/>
      <name val="Arial Narrow"/>
      <family val="2"/>
    </font>
    <font>
      <b/>
      <sz val="10"/>
      <color indexed="42"/>
      <name val="Arial Narrow"/>
      <family val="2"/>
    </font>
    <font>
      <sz val="6"/>
      <color indexed="47"/>
      <name val="Arial Narrow"/>
      <family val="2"/>
    </font>
    <font>
      <b/>
      <sz val="18"/>
      <color indexed="47"/>
      <name val="Arial Narrow"/>
      <family val="2"/>
    </font>
    <font>
      <sz val="14"/>
      <color indexed="47"/>
      <name val="Arial Narrow"/>
      <family val="2"/>
    </font>
    <font>
      <b/>
      <sz val="14"/>
      <color indexed="47"/>
      <name val="Arial Narrow"/>
      <family val="2"/>
    </font>
    <font>
      <b/>
      <sz val="7"/>
      <color indexed="10"/>
      <name val="Arial Narrow"/>
      <family val="2"/>
    </font>
    <font>
      <b/>
      <sz val="7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4" fontId="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9" fontId="3" fillId="0" borderId="2" xfId="19" applyFont="1" applyBorder="1" applyAlignment="1">
      <alignment/>
    </xf>
    <xf numFmtId="0" fontId="3" fillId="0" borderId="2" xfId="0" applyFont="1" applyBorder="1" applyAlignment="1">
      <alignment/>
    </xf>
    <xf numFmtId="4" fontId="4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7" fillId="0" borderId="0" xfId="0" applyFont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 horizontal="center"/>
    </xf>
    <xf numFmtId="0" fontId="2" fillId="0" borderId="1" xfId="0" applyFont="1" applyBorder="1" applyAlignment="1" quotePrefix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9" fillId="0" borderId="5" xfId="0" applyFont="1" applyBorder="1" applyAlignment="1" quotePrefix="1">
      <alignment horizontal="left"/>
    </xf>
    <xf numFmtId="0" fontId="2" fillId="0" borderId="5" xfId="0" applyFont="1" applyBorder="1" applyAlignment="1" quotePrefix="1">
      <alignment horizontal="left"/>
    </xf>
    <xf numFmtId="0" fontId="2" fillId="0" borderId="0" xfId="0" applyFont="1" applyAlignment="1">
      <alignment horizontal="left"/>
    </xf>
    <xf numFmtId="0" fontId="9" fillId="0" borderId="6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Font="1" applyBorder="1" applyAlignment="1" quotePrefix="1">
      <alignment horizontal="left"/>
    </xf>
    <xf numFmtId="9" fontId="3" fillId="0" borderId="0" xfId="19" applyFont="1" applyBorder="1" applyAlignment="1">
      <alignment/>
    </xf>
    <xf numFmtId="0" fontId="3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7" xfId="0" applyFont="1" applyBorder="1" applyAlignment="1" quotePrefix="1">
      <alignment horizontal="left"/>
    </xf>
    <xf numFmtId="0" fontId="8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6" fillId="2" borderId="0" xfId="0" applyNumberFormat="1" applyFont="1" applyFill="1" applyAlignment="1">
      <alignment/>
    </xf>
    <xf numFmtId="4" fontId="1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4" fontId="5" fillId="2" borderId="7" xfId="0" applyNumberFormat="1" applyFont="1" applyFill="1" applyBorder="1" applyAlignment="1">
      <alignment horizontal="center"/>
    </xf>
    <xf numFmtId="4" fontId="6" fillId="3" borderId="0" xfId="0" applyNumberFormat="1" applyFont="1" applyFill="1" applyAlignment="1">
      <alignment/>
    </xf>
    <xf numFmtId="4" fontId="1" fillId="3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/>
    </xf>
    <xf numFmtId="4" fontId="6" fillId="3" borderId="0" xfId="0" applyNumberFormat="1" applyFont="1" applyFill="1" applyBorder="1" applyAlignment="1">
      <alignment/>
    </xf>
    <xf numFmtId="0" fontId="14" fillId="4" borderId="5" xfId="0" applyFont="1" applyFill="1" applyBorder="1" applyAlignment="1" quotePrefix="1">
      <alignment horizontal="left"/>
    </xf>
    <xf numFmtId="4" fontId="16" fillId="4" borderId="2" xfId="0" applyNumberFormat="1" applyFont="1" applyFill="1" applyBorder="1" applyAlignment="1">
      <alignment/>
    </xf>
    <xf numFmtId="4" fontId="17" fillId="4" borderId="2" xfId="0" applyNumberFormat="1" applyFont="1" applyFill="1" applyBorder="1" applyAlignment="1">
      <alignment/>
    </xf>
    <xf numFmtId="0" fontId="9" fillId="5" borderId="5" xfId="0" applyFont="1" applyFill="1" applyBorder="1" applyAlignment="1" quotePrefix="1">
      <alignment horizontal="left"/>
    </xf>
    <xf numFmtId="4" fontId="6" fillId="5" borderId="2" xfId="0" applyNumberFormat="1" applyFont="1" applyFill="1" applyBorder="1" applyAlignment="1">
      <alignment horizontal="right"/>
    </xf>
    <xf numFmtId="4" fontId="6" fillId="5" borderId="0" xfId="0" applyNumberFormat="1" applyFont="1" applyFill="1" applyAlignment="1">
      <alignment/>
    </xf>
    <xf numFmtId="0" fontId="9" fillId="5" borderId="6" xfId="0" applyFont="1" applyFill="1" applyBorder="1" applyAlignment="1" quotePrefix="1">
      <alignment horizontal="left"/>
    </xf>
    <xf numFmtId="4" fontId="6" fillId="5" borderId="0" xfId="0" applyNumberFormat="1" applyFont="1" applyFill="1" applyBorder="1" applyAlignment="1">
      <alignment horizontal="right"/>
    </xf>
    <xf numFmtId="9" fontId="15" fillId="4" borderId="1" xfId="19" applyFont="1" applyFill="1" applyBorder="1" applyAlignment="1">
      <alignment horizontal="left"/>
    </xf>
    <xf numFmtId="4" fontId="5" fillId="5" borderId="2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21" fillId="2" borderId="0" xfId="0" applyNumberFormat="1" applyFont="1" applyFill="1" applyBorder="1" applyAlignment="1">
      <alignment/>
    </xf>
    <xf numFmtId="4" fontId="21" fillId="3" borderId="0" xfId="0" applyNumberFormat="1" applyFont="1" applyFill="1" applyAlignment="1">
      <alignment/>
    </xf>
    <xf numFmtId="0" fontId="23" fillId="6" borderId="5" xfId="0" applyFont="1" applyFill="1" applyBorder="1" applyAlignment="1" quotePrefix="1">
      <alignment horizontal="left"/>
    </xf>
    <xf numFmtId="9" fontId="24" fillId="6" borderId="2" xfId="19" applyFont="1" applyFill="1" applyBorder="1" applyAlignment="1">
      <alignment horizontal="left"/>
    </xf>
    <xf numFmtId="4" fontId="26" fillId="6" borderId="2" xfId="0" applyNumberFormat="1" applyFont="1" applyFill="1" applyBorder="1" applyAlignment="1">
      <alignment/>
    </xf>
    <xf numFmtId="4" fontId="27" fillId="6" borderId="2" xfId="0" applyNumberFormat="1" applyFont="1" applyFill="1" applyBorder="1" applyAlignment="1">
      <alignment/>
    </xf>
    <xf numFmtId="0" fontId="28" fillId="7" borderId="5" xfId="0" applyFont="1" applyFill="1" applyBorder="1" applyAlignment="1" quotePrefix="1">
      <alignment horizontal="left"/>
    </xf>
    <xf numFmtId="9" fontId="29" fillId="7" borderId="2" xfId="19" applyFont="1" applyFill="1" applyBorder="1" applyAlignment="1">
      <alignment horizontal="left"/>
    </xf>
    <xf numFmtId="4" fontId="31" fillId="7" borderId="2" xfId="0" applyNumberFormat="1" applyFont="1" applyFill="1" applyBorder="1" applyAlignment="1">
      <alignment/>
    </xf>
    <xf numFmtId="4" fontId="32" fillId="7" borderId="2" xfId="0" applyNumberFormat="1" applyFont="1" applyFill="1" applyBorder="1" applyAlignment="1">
      <alignment/>
    </xf>
    <xf numFmtId="0" fontId="16" fillId="4" borderId="3" xfId="0" applyFont="1" applyFill="1" applyBorder="1" applyAlignment="1">
      <alignment/>
    </xf>
    <xf numFmtId="0" fontId="1" fillId="0" borderId="1" xfId="0" applyFont="1" applyBorder="1" applyAlignment="1">
      <alignment/>
    </xf>
    <xf numFmtId="0" fontId="8" fillId="5" borderId="3" xfId="0" applyFont="1" applyFill="1" applyBorder="1" applyAlignment="1">
      <alignment/>
    </xf>
    <xf numFmtId="0" fontId="8" fillId="5" borderId="4" xfId="0" applyFont="1" applyFill="1" applyBorder="1" applyAlignment="1">
      <alignment/>
    </xf>
    <xf numFmtId="0" fontId="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6" borderId="3" xfId="0" applyFont="1" applyFill="1" applyBorder="1" applyAlignment="1">
      <alignment/>
    </xf>
    <xf numFmtId="0" fontId="30" fillId="7" borderId="3" xfId="0" applyFont="1" applyFill="1" applyBorder="1" applyAlignment="1">
      <alignment/>
    </xf>
    <xf numFmtId="0" fontId="8" fillId="0" borderId="7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33" fillId="8" borderId="5" xfId="0" applyFont="1" applyFill="1" applyBorder="1" applyAlignment="1" quotePrefix="1">
      <alignment horizontal="left"/>
    </xf>
    <xf numFmtId="9" fontId="34" fillId="8" borderId="2" xfId="19" applyFont="1" applyFill="1" applyBorder="1" applyAlignment="1">
      <alignment horizontal="left"/>
    </xf>
    <xf numFmtId="4" fontId="36" fillId="8" borderId="2" xfId="0" applyNumberFormat="1" applyFont="1" applyFill="1" applyBorder="1" applyAlignment="1">
      <alignment/>
    </xf>
    <xf numFmtId="4" fontId="37" fillId="8" borderId="2" xfId="0" applyNumberFormat="1" applyFont="1" applyFill="1" applyBorder="1" applyAlignment="1">
      <alignment/>
    </xf>
    <xf numFmtId="0" fontId="35" fillId="8" borderId="3" xfId="0" applyFont="1" applyFill="1" applyBorder="1" applyAlignment="1">
      <alignment/>
    </xf>
    <xf numFmtId="0" fontId="38" fillId="9" borderId="5" xfId="0" applyFont="1" applyFill="1" applyBorder="1" applyAlignment="1" quotePrefix="1">
      <alignment horizontal="left"/>
    </xf>
    <xf numFmtId="9" fontId="39" fillId="9" borderId="2" xfId="19" applyFont="1" applyFill="1" applyBorder="1" applyAlignment="1">
      <alignment horizontal="left"/>
    </xf>
    <xf numFmtId="4" fontId="41" fillId="9" borderId="2" xfId="0" applyNumberFormat="1" applyFont="1" applyFill="1" applyBorder="1" applyAlignment="1">
      <alignment/>
    </xf>
    <xf numFmtId="4" fontId="18" fillId="9" borderId="2" xfId="0" applyNumberFormat="1" applyFont="1" applyFill="1" applyBorder="1" applyAlignment="1">
      <alignment/>
    </xf>
    <xf numFmtId="0" fontId="40" fillId="9" borderId="3" xfId="0" applyFont="1" applyFill="1" applyBorder="1" applyAlignment="1">
      <alignment/>
    </xf>
    <xf numFmtId="4" fontId="21" fillId="3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 horizontal="right"/>
    </xf>
    <xf numFmtId="4" fontId="6" fillId="5" borderId="1" xfId="0" applyNumberFormat="1" applyFont="1" applyFill="1" applyBorder="1" applyAlignment="1">
      <alignment/>
    </xf>
    <xf numFmtId="0" fontId="14" fillId="10" borderId="5" xfId="0" applyFont="1" applyFill="1" applyBorder="1" applyAlignment="1" quotePrefix="1">
      <alignment horizontal="left"/>
    </xf>
    <xf numFmtId="4" fontId="17" fillId="10" borderId="2" xfId="0" applyNumberFormat="1" applyFont="1" applyFill="1" applyBorder="1" applyAlignment="1">
      <alignment/>
    </xf>
    <xf numFmtId="4" fontId="16" fillId="10" borderId="2" xfId="0" applyNumberFormat="1" applyFont="1" applyFill="1" applyBorder="1" applyAlignment="1">
      <alignment/>
    </xf>
    <xf numFmtId="0" fontId="16" fillId="10" borderId="3" xfId="0" applyFont="1" applyFill="1" applyBorder="1" applyAlignment="1">
      <alignment/>
    </xf>
    <xf numFmtId="0" fontId="19" fillId="0" borderId="0" xfId="0" applyFont="1" applyAlignment="1">
      <alignment/>
    </xf>
    <xf numFmtId="4" fontId="42" fillId="3" borderId="0" xfId="0" applyNumberFormat="1" applyFont="1" applyFill="1" applyAlignment="1">
      <alignment/>
    </xf>
    <xf numFmtId="4" fontId="42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43" fillId="3" borderId="0" xfId="0" applyNumberFormat="1" applyFont="1" applyFill="1" applyAlignment="1">
      <alignment/>
    </xf>
    <xf numFmtId="4" fontId="43" fillId="2" borderId="0" xfId="0" applyNumberFormat="1" applyFont="1" applyFill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9" fontId="15" fillId="10" borderId="3" xfId="19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1" fillId="0" borderId="5" xfId="0" applyFont="1" applyBorder="1" applyAlignment="1" quotePrefix="1">
      <alignment horizontal="left" vertical="top" wrapText="1"/>
    </xf>
    <xf numFmtId="0" fontId="1" fillId="0" borderId="2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61</xdr:row>
      <xdr:rowOff>238125</xdr:rowOff>
    </xdr:from>
    <xdr:to>
      <xdr:col>1</xdr:col>
      <xdr:colOff>0</xdr:colOff>
      <xdr:row>61</xdr:row>
      <xdr:rowOff>238125</xdr:rowOff>
    </xdr:to>
    <xdr:sp>
      <xdr:nvSpPr>
        <xdr:cNvPr id="1" name="Line 1"/>
        <xdr:cNvSpPr>
          <a:spLocks/>
        </xdr:cNvSpPr>
      </xdr:nvSpPr>
      <xdr:spPr>
        <a:xfrm>
          <a:off x="38100" y="19631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250</xdr:row>
      <xdr:rowOff>238125</xdr:rowOff>
    </xdr:from>
    <xdr:to>
      <xdr:col>1</xdr:col>
      <xdr:colOff>0</xdr:colOff>
      <xdr:row>250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525" y="741521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</xdr:row>
      <xdr:rowOff>219075</xdr:rowOff>
    </xdr:from>
    <xdr:to>
      <xdr:col>0</xdr:col>
      <xdr:colOff>771525</xdr:colOff>
      <xdr:row>29</xdr:row>
      <xdr:rowOff>219075</xdr:rowOff>
    </xdr:to>
    <xdr:sp>
      <xdr:nvSpPr>
        <xdr:cNvPr id="3" name="Line 6"/>
        <xdr:cNvSpPr>
          <a:spLocks/>
        </xdr:cNvSpPr>
      </xdr:nvSpPr>
      <xdr:spPr>
        <a:xfrm>
          <a:off x="38100" y="98583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98</xdr:row>
      <xdr:rowOff>228600</xdr:rowOff>
    </xdr:from>
    <xdr:to>
      <xdr:col>0</xdr:col>
      <xdr:colOff>800100</xdr:colOff>
      <xdr:row>98</xdr:row>
      <xdr:rowOff>228600</xdr:rowOff>
    </xdr:to>
    <xdr:sp>
      <xdr:nvSpPr>
        <xdr:cNvPr id="4" name="Line 7"/>
        <xdr:cNvSpPr>
          <a:spLocks/>
        </xdr:cNvSpPr>
      </xdr:nvSpPr>
      <xdr:spPr>
        <a:xfrm>
          <a:off x="38100" y="314706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277</xdr:row>
      <xdr:rowOff>228600</xdr:rowOff>
    </xdr:from>
    <xdr:to>
      <xdr:col>0</xdr:col>
      <xdr:colOff>800100</xdr:colOff>
      <xdr:row>277</xdr:row>
      <xdr:rowOff>228600</xdr:rowOff>
    </xdr:to>
    <xdr:sp>
      <xdr:nvSpPr>
        <xdr:cNvPr id="5" name="Line 8"/>
        <xdr:cNvSpPr>
          <a:spLocks/>
        </xdr:cNvSpPr>
      </xdr:nvSpPr>
      <xdr:spPr>
        <a:xfrm>
          <a:off x="38100" y="822579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305</xdr:row>
      <xdr:rowOff>104775</xdr:rowOff>
    </xdr:from>
    <xdr:to>
      <xdr:col>1</xdr:col>
      <xdr:colOff>0</xdr:colOff>
      <xdr:row>305</xdr:row>
      <xdr:rowOff>104775</xdr:rowOff>
    </xdr:to>
    <xdr:sp>
      <xdr:nvSpPr>
        <xdr:cNvPr id="6" name="Line 10"/>
        <xdr:cNvSpPr>
          <a:spLocks/>
        </xdr:cNvSpPr>
      </xdr:nvSpPr>
      <xdr:spPr>
        <a:xfrm>
          <a:off x="9525" y="900017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219075</xdr:rowOff>
    </xdr:from>
    <xdr:to>
      <xdr:col>0</xdr:col>
      <xdr:colOff>276225</xdr:colOff>
      <xdr:row>58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525" y="184689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279</xdr:row>
      <xdr:rowOff>104775</xdr:rowOff>
    </xdr:from>
    <xdr:to>
      <xdr:col>1</xdr:col>
      <xdr:colOff>0</xdr:colOff>
      <xdr:row>279</xdr:row>
      <xdr:rowOff>104775</xdr:rowOff>
    </xdr:to>
    <xdr:sp>
      <xdr:nvSpPr>
        <xdr:cNvPr id="2" name="Line 2"/>
        <xdr:cNvSpPr>
          <a:spLocks/>
        </xdr:cNvSpPr>
      </xdr:nvSpPr>
      <xdr:spPr>
        <a:xfrm>
          <a:off x="9525" y="86363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284</xdr:row>
      <xdr:rowOff>104775</xdr:rowOff>
    </xdr:from>
    <xdr:to>
      <xdr:col>1</xdr:col>
      <xdr:colOff>0</xdr:colOff>
      <xdr:row>284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87220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219075</xdr:rowOff>
    </xdr:from>
    <xdr:to>
      <xdr:col>0</xdr:col>
      <xdr:colOff>276225</xdr:colOff>
      <xdr:row>58</xdr:row>
      <xdr:rowOff>219075</xdr:rowOff>
    </xdr:to>
    <xdr:sp>
      <xdr:nvSpPr>
        <xdr:cNvPr id="1" name="Line 4"/>
        <xdr:cNvSpPr>
          <a:spLocks/>
        </xdr:cNvSpPr>
      </xdr:nvSpPr>
      <xdr:spPr>
        <a:xfrm>
          <a:off x="9525" y="184689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279</xdr:row>
      <xdr:rowOff>104775</xdr:rowOff>
    </xdr:from>
    <xdr:to>
      <xdr:col>1</xdr:col>
      <xdr:colOff>0</xdr:colOff>
      <xdr:row>279</xdr:row>
      <xdr:rowOff>104775</xdr:rowOff>
    </xdr:to>
    <xdr:sp>
      <xdr:nvSpPr>
        <xdr:cNvPr id="2" name="Line 14"/>
        <xdr:cNvSpPr>
          <a:spLocks/>
        </xdr:cNvSpPr>
      </xdr:nvSpPr>
      <xdr:spPr>
        <a:xfrm>
          <a:off x="9525" y="86363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284</xdr:row>
      <xdr:rowOff>104775</xdr:rowOff>
    </xdr:from>
    <xdr:to>
      <xdr:col>1</xdr:col>
      <xdr:colOff>0</xdr:colOff>
      <xdr:row>284</xdr:row>
      <xdr:rowOff>104775</xdr:rowOff>
    </xdr:to>
    <xdr:sp>
      <xdr:nvSpPr>
        <xdr:cNvPr id="3" name="Line 15"/>
        <xdr:cNvSpPr>
          <a:spLocks/>
        </xdr:cNvSpPr>
      </xdr:nvSpPr>
      <xdr:spPr>
        <a:xfrm>
          <a:off x="9525" y="87220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7"/>
  <sheetViews>
    <sheetView tabSelected="1" view="pageBreakPreview" zoomScaleSheetLayoutView="100" workbookViewId="0" topLeftCell="A26">
      <selection activeCell="E28" sqref="E28"/>
    </sheetView>
  </sheetViews>
  <sheetFormatPr defaultColWidth="9.00390625" defaultRowHeight="24" customHeight="1"/>
  <cols>
    <col min="1" max="1" width="10.625" style="37" customWidth="1"/>
    <col min="2" max="2" width="10.625" style="118" customWidth="1"/>
    <col min="3" max="3" width="10.625" style="81" customWidth="1"/>
    <col min="4" max="4" width="10.625" style="76" customWidth="1"/>
    <col min="5" max="5" width="55.625" style="116" customWidth="1"/>
    <col min="6" max="6" width="0" style="69" hidden="1" customWidth="1"/>
    <col min="7" max="7" width="1.00390625" style="74" customWidth="1"/>
    <col min="8" max="16384" width="9.125" style="1" customWidth="1"/>
  </cols>
  <sheetData>
    <row r="1" ht="24" customHeight="1">
      <c r="E1" s="68" t="s">
        <v>475</v>
      </c>
    </row>
    <row r="2" spans="1:7" s="19" customFormat="1" ht="24" customHeight="1">
      <c r="A2" s="85" t="s">
        <v>784</v>
      </c>
      <c r="B2" s="93" t="s">
        <v>775</v>
      </c>
      <c r="C2" s="87"/>
      <c r="D2" s="86"/>
      <c r="E2" s="106"/>
      <c r="F2" s="69"/>
      <c r="G2" s="74"/>
    </row>
    <row r="3" spans="1:7" s="11" customFormat="1" ht="24" customHeight="1">
      <c r="A3" s="40" t="s">
        <v>667</v>
      </c>
      <c r="B3" s="107" t="s">
        <v>772</v>
      </c>
      <c r="C3" s="82" t="s">
        <v>552</v>
      </c>
      <c r="D3" s="77" t="s">
        <v>458</v>
      </c>
      <c r="E3" s="18" t="s">
        <v>774</v>
      </c>
      <c r="G3" s="74"/>
    </row>
    <row r="4" spans="1:7" s="7" customFormat="1" ht="24" customHeight="1">
      <c r="A4" s="88" t="s">
        <v>785</v>
      </c>
      <c r="B4" s="148" t="s">
        <v>777</v>
      </c>
      <c r="C4" s="90"/>
      <c r="D4" s="89"/>
      <c r="E4" s="108"/>
      <c r="F4" s="70"/>
      <c r="G4" s="74"/>
    </row>
    <row r="5" spans="1:7" s="7" customFormat="1" ht="24" customHeight="1">
      <c r="A5" s="31" t="s">
        <v>786</v>
      </c>
      <c r="B5" s="33" t="s">
        <v>719</v>
      </c>
      <c r="C5" s="83">
        <v>1.5</v>
      </c>
      <c r="D5" s="78">
        <f>C5*239.64</f>
        <v>359.46</v>
      </c>
      <c r="E5" s="33" t="s">
        <v>720</v>
      </c>
      <c r="F5" s="70"/>
      <c r="G5" s="74"/>
    </row>
    <row r="6" spans="1:8" s="7" customFormat="1" ht="24" customHeight="1">
      <c r="A6" s="31" t="s">
        <v>787</v>
      </c>
      <c r="B6" s="33" t="s">
        <v>11</v>
      </c>
      <c r="C6" s="83">
        <v>2</v>
      </c>
      <c r="D6" s="78">
        <f>C6*239.64</f>
        <v>479.28</v>
      </c>
      <c r="E6" s="33" t="s">
        <v>452</v>
      </c>
      <c r="F6" s="70"/>
      <c r="G6" s="74" t="e">
        <f>#REF!*100/#REF!</f>
        <v>#REF!</v>
      </c>
      <c r="H6" s="1"/>
    </row>
    <row r="7" spans="1:8" ht="33.75" customHeight="1">
      <c r="A7" s="31" t="s">
        <v>788</v>
      </c>
      <c r="B7" s="33" t="s">
        <v>778</v>
      </c>
      <c r="C7" s="83">
        <v>4</v>
      </c>
      <c r="D7" s="78">
        <f>C7*239.64</f>
        <v>958.56</v>
      </c>
      <c r="E7" s="33" t="s">
        <v>316</v>
      </c>
      <c r="F7" s="71" t="e">
        <f>(#REF!*100/#REF!)*#REF!/100</f>
        <v>#REF!</v>
      </c>
      <c r="G7" s="74" t="e">
        <f>#REF!*100/#REF!</f>
        <v>#REF!</v>
      </c>
      <c r="H7" s="1" t="s">
        <v>603</v>
      </c>
    </row>
    <row r="8" spans="1:8" ht="24" customHeight="1">
      <c r="A8" s="31" t="s">
        <v>10</v>
      </c>
      <c r="B8" s="33" t="s">
        <v>779</v>
      </c>
      <c r="C8" s="83">
        <v>6</v>
      </c>
      <c r="D8" s="78">
        <f>C8*239.64</f>
        <v>1437.84</v>
      </c>
      <c r="E8" s="33" t="s">
        <v>451</v>
      </c>
      <c r="F8" s="71" t="e">
        <f>(#REF!*100/#REF!)*#REF!/100</f>
        <v>#REF!</v>
      </c>
      <c r="G8" s="74" t="e">
        <f>#REF!*100/#REF!</f>
        <v>#REF!</v>
      </c>
      <c r="H8" s="1" t="s">
        <v>604</v>
      </c>
    </row>
    <row r="9" spans="1:8" ht="24" customHeight="1">
      <c r="A9" s="31" t="s">
        <v>718</v>
      </c>
      <c r="B9" s="33" t="s">
        <v>449</v>
      </c>
      <c r="C9" s="83">
        <v>12</v>
      </c>
      <c r="D9" s="78">
        <f>C9*239.64</f>
        <v>2875.68</v>
      </c>
      <c r="E9" s="33" t="s">
        <v>272</v>
      </c>
      <c r="F9" s="71" t="e">
        <f>(#REF!*100/#REF!)*#REF!/100</f>
        <v>#REF!</v>
      </c>
      <c r="G9" s="74" t="e">
        <f>#REF!*100/#REF!</f>
        <v>#REF!</v>
      </c>
      <c r="H9" s="1" t="s">
        <v>605</v>
      </c>
    </row>
    <row r="10" spans="1:5" ht="24" customHeight="1">
      <c r="A10" s="91" t="s">
        <v>789</v>
      </c>
      <c r="B10" s="148" t="s">
        <v>321</v>
      </c>
      <c r="C10" s="90"/>
      <c r="D10" s="92"/>
      <c r="E10" s="109"/>
    </row>
    <row r="11" spans="1:7" ht="24" customHeight="1">
      <c r="A11" s="31" t="s">
        <v>790</v>
      </c>
      <c r="B11" s="33" t="s">
        <v>669</v>
      </c>
      <c r="C11" s="83">
        <v>4</v>
      </c>
      <c r="D11" s="78">
        <f>C11*239.64</f>
        <v>958.56</v>
      </c>
      <c r="E11" s="33" t="s">
        <v>677</v>
      </c>
      <c r="G11" s="74" t="e">
        <f>#REF!*100/#REF!</f>
        <v>#REF!</v>
      </c>
    </row>
    <row r="12" spans="1:7" s="7" customFormat="1" ht="24" customHeight="1">
      <c r="A12" s="91" t="s">
        <v>793</v>
      </c>
      <c r="B12" s="149" t="s">
        <v>782</v>
      </c>
      <c r="C12" s="90"/>
      <c r="D12" s="92"/>
      <c r="E12" s="109"/>
      <c r="F12" s="70"/>
      <c r="G12" s="74"/>
    </row>
    <row r="13" spans="1:8" ht="34.5" customHeight="1">
      <c r="A13" s="31" t="s">
        <v>794</v>
      </c>
      <c r="B13" s="33" t="s">
        <v>778</v>
      </c>
      <c r="C13" s="83">
        <v>29</v>
      </c>
      <c r="D13" s="78">
        <f>C13*239.64</f>
        <v>6949.5599999999995</v>
      </c>
      <c r="E13" s="33" t="s">
        <v>317</v>
      </c>
      <c r="G13" s="74" t="e">
        <f>#REF!*100/#REF!</f>
        <v>#REF!</v>
      </c>
      <c r="H13" s="1" t="s">
        <v>588</v>
      </c>
    </row>
    <row r="14" spans="1:8" ht="24" customHeight="1">
      <c r="A14" s="31" t="s">
        <v>795</v>
      </c>
      <c r="B14" s="33" t="s">
        <v>779</v>
      </c>
      <c r="C14" s="83">
        <v>43</v>
      </c>
      <c r="D14" s="78">
        <f>C14*239.64</f>
        <v>10304.519999999999</v>
      </c>
      <c r="E14" s="33" t="s">
        <v>450</v>
      </c>
      <c r="G14" s="74" t="e">
        <f>#REF!*100/#REF!</f>
        <v>#REF!</v>
      </c>
      <c r="H14" s="1" t="s">
        <v>606</v>
      </c>
    </row>
    <row r="15" spans="1:8" ht="24.75" customHeight="1">
      <c r="A15" s="31" t="s">
        <v>796</v>
      </c>
      <c r="B15" s="33" t="s">
        <v>449</v>
      </c>
      <c r="C15" s="83">
        <v>86</v>
      </c>
      <c r="D15" s="78">
        <f>C15*239.64</f>
        <v>20609.039999999997</v>
      </c>
      <c r="E15" s="33" t="s">
        <v>275</v>
      </c>
      <c r="G15" s="74" t="e">
        <f>#REF!*100/#REF!</f>
        <v>#REF!</v>
      </c>
      <c r="H15" s="1" t="s">
        <v>607</v>
      </c>
    </row>
    <row r="16" spans="1:7" s="7" customFormat="1" ht="24" customHeight="1">
      <c r="A16" s="91" t="s">
        <v>798</v>
      </c>
      <c r="B16" s="149" t="s">
        <v>797</v>
      </c>
      <c r="C16" s="90"/>
      <c r="D16" s="92"/>
      <c r="E16" s="109"/>
      <c r="F16" s="70"/>
      <c r="G16" s="74"/>
    </row>
    <row r="17" spans="1:8" ht="34.5" customHeight="1">
      <c r="A17" s="31" t="s">
        <v>799</v>
      </c>
      <c r="B17" s="33" t="s">
        <v>778</v>
      </c>
      <c r="C17" s="83">
        <v>48</v>
      </c>
      <c r="D17" s="78">
        <f>C17*239.64</f>
        <v>11502.72</v>
      </c>
      <c r="E17" s="33" t="s">
        <v>318</v>
      </c>
      <c r="G17" s="74" t="e">
        <f>#REF!*100/#REF!</f>
        <v>#REF!</v>
      </c>
      <c r="H17" s="1" t="s">
        <v>585</v>
      </c>
    </row>
    <row r="18" spans="1:8" ht="24" customHeight="1">
      <c r="A18" s="31" t="s">
        <v>800</v>
      </c>
      <c r="B18" s="33" t="s">
        <v>779</v>
      </c>
      <c r="C18" s="83">
        <v>72</v>
      </c>
      <c r="D18" s="78">
        <f>C18*239.64</f>
        <v>17254.079999999998</v>
      </c>
      <c r="E18" s="33" t="s">
        <v>453</v>
      </c>
      <c r="G18" s="74" t="e">
        <f>#REF!*100/#REF!</f>
        <v>#REF!</v>
      </c>
      <c r="H18" s="1" t="s">
        <v>586</v>
      </c>
    </row>
    <row r="19" spans="1:8" ht="24" customHeight="1">
      <c r="A19" s="31" t="s">
        <v>801</v>
      </c>
      <c r="B19" s="33" t="s">
        <v>449</v>
      </c>
      <c r="C19" s="83">
        <v>144</v>
      </c>
      <c r="D19" s="78">
        <f>C19*239.64</f>
        <v>34508.159999999996</v>
      </c>
      <c r="E19" s="33" t="s">
        <v>277</v>
      </c>
      <c r="G19" s="74" t="e">
        <f>#REF!*100/#REF!</f>
        <v>#REF!</v>
      </c>
      <c r="H19" s="1" t="s">
        <v>587</v>
      </c>
    </row>
    <row r="20" spans="1:7" s="7" customFormat="1" ht="24" customHeight="1">
      <c r="A20" s="91" t="s">
        <v>803</v>
      </c>
      <c r="B20" s="149" t="s">
        <v>698</v>
      </c>
      <c r="C20" s="90"/>
      <c r="D20" s="92"/>
      <c r="E20" s="109"/>
      <c r="F20" s="70"/>
      <c r="G20" s="74"/>
    </row>
    <row r="21" spans="1:8" ht="45" customHeight="1">
      <c r="A21" s="31" t="s">
        <v>804</v>
      </c>
      <c r="B21" s="33" t="s">
        <v>778</v>
      </c>
      <c r="C21" s="83">
        <v>154</v>
      </c>
      <c r="D21" s="78">
        <f>C21*239.64</f>
        <v>36904.56</v>
      </c>
      <c r="E21" s="33" t="s">
        <v>319</v>
      </c>
      <c r="G21" s="74" t="e">
        <f>#REF!*100/#REF!</f>
        <v>#REF!</v>
      </c>
      <c r="H21" s="1" t="s">
        <v>584</v>
      </c>
    </row>
    <row r="22" spans="1:8" ht="24" customHeight="1">
      <c r="A22" s="31" t="s">
        <v>805</v>
      </c>
      <c r="B22" s="33" t="s">
        <v>779</v>
      </c>
      <c r="C22" s="83">
        <v>230</v>
      </c>
      <c r="D22" s="78">
        <f>C22*239.64</f>
        <v>55117.2</v>
      </c>
      <c r="E22" s="33" t="s">
        <v>454</v>
      </c>
      <c r="G22" s="74" t="e">
        <f>#REF!*100/#REF!</f>
        <v>#REF!</v>
      </c>
      <c r="H22" s="1" t="s">
        <v>589</v>
      </c>
    </row>
    <row r="23" spans="1:8" ht="34.5" customHeight="1">
      <c r="A23" s="31" t="s">
        <v>806</v>
      </c>
      <c r="B23" s="33" t="s">
        <v>449</v>
      </c>
      <c r="C23" s="83">
        <v>461</v>
      </c>
      <c r="D23" s="78">
        <f>C23*239.64</f>
        <v>110474.04</v>
      </c>
      <c r="E23" s="33" t="s">
        <v>276</v>
      </c>
      <c r="G23" s="74" t="e">
        <f>#REF!*100/#REF!</f>
        <v>#REF!</v>
      </c>
      <c r="H23" s="1" t="s">
        <v>590</v>
      </c>
    </row>
    <row r="24" spans="1:7" s="7" customFormat="1" ht="24" customHeight="1">
      <c r="A24" s="91" t="s">
        <v>5</v>
      </c>
      <c r="B24" s="149" t="s">
        <v>2</v>
      </c>
      <c r="C24" s="90"/>
      <c r="D24" s="92"/>
      <c r="E24" s="109"/>
      <c r="F24" s="70"/>
      <c r="G24" s="74"/>
    </row>
    <row r="25" spans="1:7" ht="24" customHeight="1">
      <c r="A25" s="31" t="s">
        <v>6</v>
      </c>
      <c r="B25" s="33" t="s">
        <v>807</v>
      </c>
      <c r="C25" s="83">
        <v>3.5</v>
      </c>
      <c r="D25" s="78">
        <f>C25*239.64</f>
        <v>838.74</v>
      </c>
      <c r="E25" s="33" t="s">
        <v>455</v>
      </c>
      <c r="G25" s="74" t="e">
        <f>#REF!*100/#REF!</f>
        <v>#REF!</v>
      </c>
    </row>
    <row r="26" spans="1:7" ht="24" customHeight="1">
      <c r="A26" s="31" t="s">
        <v>7</v>
      </c>
      <c r="B26" s="33" t="s">
        <v>808</v>
      </c>
      <c r="C26" s="83">
        <v>3</v>
      </c>
      <c r="D26" s="78">
        <f>C26*239.64</f>
        <v>718.92</v>
      </c>
      <c r="E26" s="33" t="s">
        <v>456</v>
      </c>
      <c r="G26" s="74" t="e">
        <f>#REF!*100/#REF!</f>
        <v>#REF!</v>
      </c>
    </row>
    <row r="27" spans="1:7" ht="24" customHeight="1">
      <c r="A27" s="31" t="s">
        <v>8</v>
      </c>
      <c r="B27" s="33" t="s">
        <v>541</v>
      </c>
      <c r="C27" s="83">
        <v>2.5</v>
      </c>
      <c r="D27" s="78">
        <f>C27*239.64</f>
        <v>599.0999999999999</v>
      </c>
      <c r="E27" s="33" t="s">
        <v>459</v>
      </c>
      <c r="G27" s="74" t="e">
        <f>#REF!*100/#REF!</f>
        <v>#REF!</v>
      </c>
    </row>
    <row r="28" spans="1:7" ht="24" customHeight="1">
      <c r="A28" s="31" t="s">
        <v>18</v>
      </c>
      <c r="B28" s="33" t="s">
        <v>669</v>
      </c>
      <c r="C28" s="83">
        <v>1.5</v>
      </c>
      <c r="D28" s="78">
        <f>C28*239.64</f>
        <v>359.46</v>
      </c>
      <c r="E28" s="33" t="s">
        <v>320</v>
      </c>
      <c r="G28" s="74" t="e">
        <f>#REF!*100/#REF!</f>
        <v>#REF!</v>
      </c>
    </row>
    <row r="29" spans="1:5" ht="24" customHeight="1">
      <c r="A29" s="31" t="s">
        <v>19</v>
      </c>
      <c r="B29" s="33" t="s">
        <v>669</v>
      </c>
      <c r="C29" s="83">
        <v>1.5</v>
      </c>
      <c r="D29" s="78">
        <f>C29*239.64</f>
        <v>359.46</v>
      </c>
      <c r="E29" s="33" t="s">
        <v>699</v>
      </c>
    </row>
    <row r="30" spans="1:5" ht="24" customHeight="1">
      <c r="A30" s="39"/>
      <c r="B30" s="95" t="s">
        <v>615</v>
      </c>
      <c r="D30" s="79"/>
      <c r="E30" s="110"/>
    </row>
    <row r="31" spans="1:5" ht="24" customHeight="1">
      <c r="A31" s="39"/>
      <c r="B31" s="95"/>
      <c r="D31" s="79"/>
      <c r="E31" s="110"/>
    </row>
    <row r="32" spans="1:5" ht="24" customHeight="1">
      <c r="A32" s="39"/>
      <c r="B32" s="95"/>
      <c r="D32" s="79"/>
      <c r="E32" s="110"/>
    </row>
    <row r="33" ht="24" customHeight="1">
      <c r="E33" s="68" t="s">
        <v>476</v>
      </c>
    </row>
    <row r="34" spans="1:7" s="19" customFormat="1" ht="24" customHeight="1">
      <c r="A34" s="85" t="s">
        <v>784</v>
      </c>
      <c r="B34" s="93" t="s">
        <v>775</v>
      </c>
      <c r="C34" s="87"/>
      <c r="D34" s="86"/>
      <c r="E34" s="106"/>
      <c r="F34" s="69"/>
      <c r="G34" s="74"/>
    </row>
    <row r="35" spans="1:7" s="11" customFormat="1" ht="24" customHeight="1">
      <c r="A35" s="40" t="s">
        <v>667</v>
      </c>
      <c r="B35" s="107" t="s">
        <v>772</v>
      </c>
      <c r="C35" s="82" t="s">
        <v>552</v>
      </c>
      <c r="D35" s="77" t="s">
        <v>458</v>
      </c>
      <c r="E35" s="18" t="s">
        <v>774</v>
      </c>
      <c r="G35" s="74"/>
    </row>
    <row r="36" spans="1:7" s="7" customFormat="1" ht="24" customHeight="1">
      <c r="A36" s="88" t="s">
        <v>5</v>
      </c>
      <c r="B36" s="148" t="s">
        <v>162</v>
      </c>
      <c r="C36" s="90"/>
      <c r="D36" s="94"/>
      <c r="E36" s="108"/>
      <c r="F36" s="70"/>
      <c r="G36" s="74"/>
    </row>
    <row r="37" spans="1:7" ht="24" customHeight="1">
      <c r="A37" s="31" t="s">
        <v>6</v>
      </c>
      <c r="B37" s="33" t="s">
        <v>16</v>
      </c>
      <c r="C37" s="83">
        <v>13</v>
      </c>
      <c r="D37" s="78">
        <f aca="true" t="shared" si="0" ref="D37:D42">C37*239.64</f>
        <v>3115.3199999999997</v>
      </c>
      <c r="E37" s="33" t="s">
        <v>340</v>
      </c>
      <c r="G37" s="74" t="e">
        <f>#REF!*100/#REF!</f>
        <v>#REF!</v>
      </c>
    </row>
    <row r="38" spans="1:7" ht="24" customHeight="1">
      <c r="A38" s="31" t="s">
        <v>7</v>
      </c>
      <c r="B38" s="33" t="s">
        <v>17</v>
      </c>
      <c r="C38" s="83">
        <v>13</v>
      </c>
      <c r="D38" s="78">
        <f t="shared" si="0"/>
        <v>3115.3199999999997</v>
      </c>
      <c r="E38" s="33" t="s">
        <v>341</v>
      </c>
      <c r="G38" s="74" t="e">
        <f>#REF!*100/#REF!</f>
        <v>#REF!</v>
      </c>
    </row>
    <row r="39" spans="1:8" ht="24" customHeight="1">
      <c r="A39" s="31" t="s">
        <v>8</v>
      </c>
      <c r="B39" s="33" t="s">
        <v>16</v>
      </c>
      <c r="C39" s="83">
        <v>26</v>
      </c>
      <c r="D39" s="78">
        <f t="shared" si="0"/>
        <v>6230.639999999999</v>
      </c>
      <c r="E39" s="33" t="s">
        <v>342</v>
      </c>
      <c r="G39" s="74" t="e">
        <f>#REF!*100/#REF!</f>
        <v>#REF!</v>
      </c>
      <c r="H39" s="1" t="s">
        <v>591</v>
      </c>
    </row>
    <row r="40" spans="1:8" ht="24" customHeight="1">
      <c r="A40" s="31" t="s">
        <v>18</v>
      </c>
      <c r="B40" s="33" t="s">
        <v>16</v>
      </c>
      <c r="C40" s="83">
        <v>52</v>
      </c>
      <c r="D40" s="78">
        <f t="shared" si="0"/>
        <v>12461.279999999999</v>
      </c>
      <c r="E40" s="33" t="s">
        <v>343</v>
      </c>
      <c r="G40" s="74" t="e">
        <f>#REF!*100/#REF!</f>
        <v>#REF!</v>
      </c>
      <c r="H40" s="1" t="s">
        <v>592</v>
      </c>
    </row>
    <row r="41" spans="1:8" ht="24" customHeight="1">
      <c r="A41" s="31" t="s">
        <v>19</v>
      </c>
      <c r="B41" s="33" t="s">
        <v>17</v>
      </c>
      <c r="C41" s="83">
        <v>182</v>
      </c>
      <c r="D41" s="78">
        <f t="shared" si="0"/>
        <v>43614.479999999996</v>
      </c>
      <c r="E41" s="33" t="s">
        <v>344</v>
      </c>
      <c r="G41" s="74" t="e">
        <f>#REF!*100/#REF!</f>
        <v>#REF!</v>
      </c>
      <c r="H41" s="1" t="s">
        <v>593</v>
      </c>
    </row>
    <row r="42" spans="1:8" ht="24" customHeight="1">
      <c r="A42" s="31" t="s">
        <v>20</v>
      </c>
      <c r="B42" s="33" t="s">
        <v>16</v>
      </c>
      <c r="C42" s="83">
        <v>364</v>
      </c>
      <c r="D42" s="78">
        <f t="shared" si="0"/>
        <v>87228.95999999999</v>
      </c>
      <c r="E42" s="33" t="s">
        <v>345</v>
      </c>
      <c r="G42" s="74" t="e">
        <f>#REF!*100/#REF!</f>
        <v>#REF!</v>
      </c>
      <c r="H42" s="1" t="s">
        <v>601</v>
      </c>
    </row>
    <row r="43" spans="1:7" s="7" customFormat="1" ht="24" customHeight="1">
      <c r="A43" s="88" t="s">
        <v>24</v>
      </c>
      <c r="B43" s="148" t="s">
        <v>31</v>
      </c>
      <c r="C43" s="90"/>
      <c r="D43" s="94"/>
      <c r="E43" s="108"/>
      <c r="F43" s="70"/>
      <c r="G43" s="74"/>
    </row>
    <row r="44" spans="1:7" ht="24" customHeight="1">
      <c r="A44" s="31" t="s">
        <v>25</v>
      </c>
      <c r="B44" s="33" t="s">
        <v>32</v>
      </c>
      <c r="C44" s="83">
        <v>6</v>
      </c>
      <c r="D44" s="78">
        <f aca="true" t="shared" si="1" ref="D44:D49">C44*239.64</f>
        <v>1437.84</v>
      </c>
      <c r="E44" s="33" t="s">
        <v>346</v>
      </c>
      <c r="G44" s="74" t="e">
        <f>#REF!*100/#REF!</f>
        <v>#REF!</v>
      </c>
    </row>
    <row r="45" spans="1:7" ht="24" customHeight="1">
      <c r="A45" s="31" t="s">
        <v>26</v>
      </c>
      <c r="B45" s="33" t="s">
        <v>32</v>
      </c>
      <c r="C45" s="83">
        <v>6</v>
      </c>
      <c r="D45" s="78">
        <f t="shared" si="1"/>
        <v>1437.84</v>
      </c>
      <c r="E45" s="33" t="s">
        <v>347</v>
      </c>
      <c r="G45" s="74" t="e">
        <f>#REF!*100/#REF!</f>
        <v>#REF!</v>
      </c>
    </row>
    <row r="46" spans="1:8" ht="24" customHeight="1">
      <c r="A46" s="31" t="s">
        <v>27</v>
      </c>
      <c r="B46" s="33" t="s">
        <v>32</v>
      </c>
      <c r="C46" s="83">
        <v>12</v>
      </c>
      <c r="D46" s="78">
        <f t="shared" si="1"/>
        <v>2875.68</v>
      </c>
      <c r="E46" s="33" t="s">
        <v>348</v>
      </c>
      <c r="G46" s="74" t="e">
        <f>#REF!*100/#REF!</f>
        <v>#REF!</v>
      </c>
      <c r="H46" s="1" t="s">
        <v>594</v>
      </c>
    </row>
    <row r="47" spans="1:8" ht="24" customHeight="1">
      <c r="A47" s="31" t="s">
        <v>28</v>
      </c>
      <c r="B47" s="33" t="s">
        <v>32</v>
      </c>
      <c r="C47" s="83">
        <v>24</v>
      </c>
      <c r="D47" s="78">
        <f t="shared" si="1"/>
        <v>5751.36</v>
      </c>
      <c r="E47" s="33" t="s">
        <v>349</v>
      </c>
      <c r="G47" s="74" t="e">
        <f>#REF!*100/#REF!</f>
        <v>#REF!</v>
      </c>
      <c r="H47" s="1" t="s">
        <v>595</v>
      </c>
    </row>
    <row r="48" spans="1:8" ht="24" customHeight="1">
      <c r="A48" s="31" t="s">
        <v>29</v>
      </c>
      <c r="B48" s="33" t="s">
        <v>32</v>
      </c>
      <c r="C48" s="83">
        <v>84</v>
      </c>
      <c r="D48" s="78">
        <f t="shared" si="1"/>
        <v>20129.76</v>
      </c>
      <c r="E48" s="33" t="s">
        <v>350</v>
      </c>
      <c r="G48" s="74" t="e">
        <f>#REF!*100/#REF!</f>
        <v>#REF!</v>
      </c>
      <c r="H48" s="1" t="s">
        <v>596</v>
      </c>
    </row>
    <row r="49" spans="1:8" ht="24" customHeight="1">
      <c r="A49" s="31" t="s">
        <v>30</v>
      </c>
      <c r="B49" s="33" t="s">
        <v>32</v>
      </c>
      <c r="C49" s="83">
        <v>168</v>
      </c>
      <c r="D49" s="78">
        <f t="shared" si="1"/>
        <v>40259.52</v>
      </c>
      <c r="E49" s="33" t="s">
        <v>351</v>
      </c>
      <c r="G49" s="74" t="e">
        <f>#REF!*100/#REF!</f>
        <v>#REF!</v>
      </c>
      <c r="H49" s="1" t="s">
        <v>602</v>
      </c>
    </row>
    <row r="50" spans="1:7" s="7" customFormat="1" ht="24" customHeight="1">
      <c r="A50" s="88" t="s">
        <v>33</v>
      </c>
      <c r="B50" s="148" t="s">
        <v>517</v>
      </c>
      <c r="C50" s="90"/>
      <c r="D50" s="94"/>
      <c r="E50" s="108"/>
      <c r="F50" s="70"/>
      <c r="G50" s="74"/>
    </row>
    <row r="51" spans="1:7" ht="24" customHeight="1">
      <c r="A51" s="31" t="s">
        <v>35</v>
      </c>
      <c r="B51" s="33" t="s">
        <v>34</v>
      </c>
      <c r="C51" s="83">
        <v>6.5</v>
      </c>
      <c r="D51" s="78">
        <f aca="true" t="shared" si="2" ref="D51:D56">C51*239.64</f>
        <v>1557.6599999999999</v>
      </c>
      <c r="E51" s="33" t="s">
        <v>352</v>
      </c>
      <c r="G51" s="74" t="e">
        <f>#REF!*100/#REF!</f>
        <v>#REF!</v>
      </c>
    </row>
    <row r="52" spans="1:7" ht="24" customHeight="1">
      <c r="A52" s="31" t="s">
        <v>36</v>
      </c>
      <c r="B52" s="33" t="s">
        <v>34</v>
      </c>
      <c r="C52" s="83">
        <v>6.5</v>
      </c>
      <c r="D52" s="78">
        <f t="shared" si="2"/>
        <v>1557.6599999999999</v>
      </c>
      <c r="E52" s="33" t="s">
        <v>353</v>
      </c>
      <c r="G52" s="74" t="e">
        <f>#REF!*100/#REF!</f>
        <v>#REF!</v>
      </c>
    </row>
    <row r="53" spans="1:8" ht="24" customHeight="1">
      <c r="A53" s="31" t="s">
        <v>37</v>
      </c>
      <c r="B53" s="33" t="s">
        <v>34</v>
      </c>
      <c r="C53" s="83">
        <v>13</v>
      </c>
      <c r="D53" s="78">
        <f t="shared" si="2"/>
        <v>3115.3199999999997</v>
      </c>
      <c r="E53" s="33" t="s">
        <v>354</v>
      </c>
      <c r="G53" s="74" t="e">
        <f>#REF!*100/#REF!</f>
        <v>#REF!</v>
      </c>
      <c r="H53" s="1" t="s">
        <v>597</v>
      </c>
    </row>
    <row r="54" spans="1:8" ht="24" customHeight="1">
      <c r="A54" s="31" t="s">
        <v>38</v>
      </c>
      <c r="B54" s="33" t="s">
        <v>34</v>
      </c>
      <c r="C54" s="83">
        <v>26</v>
      </c>
      <c r="D54" s="78">
        <f t="shared" si="2"/>
        <v>6230.639999999999</v>
      </c>
      <c r="E54" s="33" t="s">
        <v>355</v>
      </c>
      <c r="G54" s="74" t="e">
        <f>#REF!*100/#REF!</f>
        <v>#REF!</v>
      </c>
      <c r="H54" s="1" t="s">
        <v>598</v>
      </c>
    </row>
    <row r="55" spans="1:8" ht="24" customHeight="1">
      <c r="A55" s="31" t="s">
        <v>39</v>
      </c>
      <c r="B55" s="33" t="s">
        <v>34</v>
      </c>
      <c r="C55" s="83">
        <v>91</v>
      </c>
      <c r="D55" s="78">
        <f t="shared" si="2"/>
        <v>21807.239999999998</v>
      </c>
      <c r="E55" s="33" t="s">
        <v>356</v>
      </c>
      <c r="G55" s="74" t="e">
        <f>#REF!*100/#REF!</f>
        <v>#REF!</v>
      </c>
      <c r="H55" s="1" t="s">
        <v>599</v>
      </c>
    </row>
    <row r="56" spans="1:8" ht="24" customHeight="1">
      <c r="A56" s="31" t="s">
        <v>40</v>
      </c>
      <c r="B56" s="33" t="s">
        <v>34</v>
      </c>
      <c r="C56" s="83">
        <v>182</v>
      </c>
      <c r="D56" s="78">
        <f t="shared" si="2"/>
        <v>43614.479999999996</v>
      </c>
      <c r="E56" s="33" t="s">
        <v>357</v>
      </c>
      <c r="G56" s="74" t="e">
        <f>#REF!*100/#REF!</f>
        <v>#REF!</v>
      </c>
      <c r="H56" s="1" t="s">
        <v>600</v>
      </c>
    </row>
    <row r="57" spans="1:7" s="7" customFormat="1" ht="24" customHeight="1">
      <c r="A57" s="88" t="s">
        <v>673</v>
      </c>
      <c r="B57" s="148" t="s">
        <v>700</v>
      </c>
      <c r="C57" s="90"/>
      <c r="D57" s="94"/>
      <c r="E57" s="108"/>
      <c r="F57" s="70"/>
      <c r="G57" s="74"/>
    </row>
    <row r="58" spans="1:7" ht="24" customHeight="1">
      <c r="A58" s="31" t="s">
        <v>674</v>
      </c>
      <c r="B58" s="33" t="s">
        <v>16</v>
      </c>
      <c r="C58" s="83">
        <v>4</v>
      </c>
      <c r="D58" s="78">
        <f>C58*239.64</f>
        <v>958.56</v>
      </c>
      <c r="E58" s="33" t="s">
        <v>676</v>
      </c>
      <c r="G58" s="74" t="e">
        <f>#REF!*100/#REF!</f>
        <v>#REF!</v>
      </c>
    </row>
    <row r="59" spans="1:7" ht="24" customHeight="1">
      <c r="A59" s="31" t="s">
        <v>675</v>
      </c>
      <c r="B59" s="33" t="s">
        <v>32</v>
      </c>
      <c r="C59" s="83">
        <v>2</v>
      </c>
      <c r="D59" s="78">
        <f>C59*239.64</f>
        <v>479.28</v>
      </c>
      <c r="E59" s="33" t="s">
        <v>485</v>
      </c>
      <c r="G59" s="74" t="e">
        <f>#REF!*100/#REF!</f>
        <v>#REF!</v>
      </c>
    </row>
    <row r="60" spans="1:5" ht="24" customHeight="1">
      <c r="A60" s="88" t="s">
        <v>714</v>
      </c>
      <c r="B60" s="148" t="s">
        <v>716</v>
      </c>
      <c r="C60" s="90"/>
      <c r="D60" s="94"/>
      <c r="E60" s="108"/>
    </row>
    <row r="61" spans="1:5" ht="24" customHeight="1">
      <c r="A61" s="31" t="s">
        <v>715</v>
      </c>
      <c r="B61" s="33" t="s">
        <v>16</v>
      </c>
      <c r="C61" s="83">
        <v>0.5</v>
      </c>
      <c r="D61" s="78">
        <f>C61*239.64</f>
        <v>119.82</v>
      </c>
      <c r="E61" s="33" t="s">
        <v>717</v>
      </c>
    </row>
    <row r="62" ht="24" customHeight="1">
      <c r="B62" s="95" t="s">
        <v>233</v>
      </c>
    </row>
    <row r="68" ht="24" customHeight="1">
      <c r="E68" s="68" t="s">
        <v>477</v>
      </c>
    </row>
    <row r="69" spans="1:5" ht="24" customHeight="1">
      <c r="A69" s="98" t="s">
        <v>43</v>
      </c>
      <c r="B69" s="99" t="s">
        <v>42</v>
      </c>
      <c r="C69" s="101"/>
      <c r="D69" s="100"/>
      <c r="E69" s="112"/>
    </row>
    <row r="70" spans="1:5" ht="24" customHeight="1">
      <c r="A70" s="40" t="s">
        <v>667</v>
      </c>
      <c r="B70" s="107" t="s">
        <v>772</v>
      </c>
      <c r="C70" s="82" t="s">
        <v>552</v>
      </c>
      <c r="D70" s="77" t="s">
        <v>458</v>
      </c>
      <c r="E70" s="18" t="s">
        <v>774</v>
      </c>
    </row>
    <row r="71" spans="1:5" ht="24" customHeight="1">
      <c r="A71" s="88" t="s">
        <v>45</v>
      </c>
      <c r="B71" s="148" t="s">
        <v>44</v>
      </c>
      <c r="C71" s="90"/>
      <c r="D71" s="89"/>
      <c r="E71" s="108"/>
    </row>
    <row r="72" spans="1:7" ht="33.75" customHeight="1">
      <c r="A72" s="31" t="s">
        <v>46</v>
      </c>
      <c r="B72" s="33" t="s">
        <v>778</v>
      </c>
      <c r="C72" s="83">
        <v>3</v>
      </c>
      <c r="D72" s="78">
        <f>C72*239.64</f>
        <v>718.92</v>
      </c>
      <c r="E72" s="33" t="s">
        <v>721</v>
      </c>
      <c r="G72" s="74" t="e">
        <f>#REF!*100/#REF!</f>
        <v>#REF!</v>
      </c>
    </row>
    <row r="73" spans="1:7" ht="24" customHeight="1">
      <c r="A73" s="31" t="s">
        <v>47</v>
      </c>
      <c r="B73" s="33" t="s">
        <v>779</v>
      </c>
      <c r="C73" s="83">
        <v>5</v>
      </c>
      <c r="D73" s="78">
        <f>C73*239.64</f>
        <v>1198.1999999999998</v>
      </c>
      <c r="E73" s="33" t="s">
        <v>131</v>
      </c>
      <c r="G73" s="74" t="e">
        <f>#REF!*100/#REF!</f>
        <v>#REF!</v>
      </c>
    </row>
    <row r="74" spans="1:7" ht="24" customHeight="1">
      <c r="A74" s="31" t="s">
        <v>48</v>
      </c>
      <c r="B74" s="33" t="s">
        <v>449</v>
      </c>
      <c r="C74" s="83">
        <v>9</v>
      </c>
      <c r="D74" s="78">
        <f>C74*239.64</f>
        <v>2156.7599999999998</v>
      </c>
      <c r="E74" s="33" t="s">
        <v>273</v>
      </c>
      <c r="G74" s="74" t="e">
        <f>#REF!*100/#REF!</f>
        <v>#REF!</v>
      </c>
    </row>
    <row r="75" spans="1:5" ht="24" customHeight="1">
      <c r="A75" s="91" t="s">
        <v>50</v>
      </c>
      <c r="B75" s="148" t="s">
        <v>49</v>
      </c>
      <c r="C75" s="90"/>
      <c r="D75" s="92"/>
      <c r="E75" s="109"/>
    </row>
    <row r="76" spans="1:7" ht="33.75" customHeight="1">
      <c r="A76" s="31" t="s">
        <v>51</v>
      </c>
      <c r="B76" s="33" t="s">
        <v>778</v>
      </c>
      <c r="C76" s="83">
        <v>2.5</v>
      </c>
      <c r="D76" s="78">
        <f>C76*239.64</f>
        <v>599.0999999999999</v>
      </c>
      <c r="E76" s="33" t="s">
        <v>722</v>
      </c>
      <c r="G76" s="74" t="e">
        <f>#REF!*100/#REF!</f>
        <v>#REF!</v>
      </c>
    </row>
    <row r="77" spans="1:7" ht="24" customHeight="1">
      <c r="A77" s="31" t="s">
        <v>52</v>
      </c>
      <c r="B77" s="33" t="s">
        <v>779</v>
      </c>
      <c r="C77" s="83">
        <v>4</v>
      </c>
      <c r="D77" s="78">
        <f>C77*239.64</f>
        <v>958.56</v>
      </c>
      <c r="E77" s="33" t="s">
        <v>132</v>
      </c>
      <c r="G77" s="74" t="e">
        <f>#REF!*100/#REF!</f>
        <v>#REF!</v>
      </c>
    </row>
    <row r="78" spans="1:7" ht="24" customHeight="1">
      <c r="A78" s="31" t="s">
        <v>53</v>
      </c>
      <c r="B78" s="33" t="s">
        <v>449</v>
      </c>
      <c r="C78" s="83">
        <v>8</v>
      </c>
      <c r="D78" s="78">
        <f>C78*239.64</f>
        <v>1917.12</v>
      </c>
      <c r="E78" s="33" t="s">
        <v>274</v>
      </c>
      <c r="G78" s="74" t="e">
        <f>#REF!*100/#REF!</f>
        <v>#REF!</v>
      </c>
    </row>
    <row r="79" spans="1:5" ht="24" customHeight="1">
      <c r="A79" s="91" t="s">
        <v>54</v>
      </c>
      <c r="B79" s="148" t="s">
        <v>701</v>
      </c>
      <c r="C79" s="90"/>
      <c r="D79" s="92"/>
      <c r="E79" s="109"/>
    </row>
    <row r="80" spans="1:7" ht="24" customHeight="1">
      <c r="A80" s="31" t="s">
        <v>56</v>
      </c>
      <c r="B80" s="33" t="s">
        <v>669</v>
      </c>
      <c r="C80" s="83">
        <v>2.5</v>
      </c>
      <c r="D80" s="78">
        <f>C80*239.64</f>
        <v>599.0999999999999</v>
      </c>
      <c r="E80" s="33" t="s">
        <v>670</v>
      </c>
      <c r="G80" s="74" t="e">
        <f>#REF!*100/#REF!</f>
        <v>#REF!</v>
      </c>
    </row>
    <row r="81" spans="1:5" ht="24" customHeight="1">
      <c r="A81" s="91" t="s">
        <v>60</v>
      </c>
      <c r="B81" s="148" t="s">
        <v>55</v>
      </c>
      <c r="C81" s="90"/>
      <c r="D81" s="92"/>
      <c r="E81" s="109"/>
    </row>
    <row r="82" spans="1:8" ht="33.75" customHeight="1">
      <c r="A82" s="31" t="s">
        <v>61</v>
      </c>
      <c r="B82" s="33" t="s">
        <v>778</v>
      </c>
      <c r="C82" s="83">
        <v>22</v>
      </c>
      <c r="D82" s="78">
        <f>C82*239.64</f>
        <v>5272.08</v>
      </c>
      <c r="E82" s="33" t="s">
        <v>723</v>
      </c>
      <c r="G82" s="74" t="e">
        <f>#REF!*100/#REF!</f>
        <v>#REF!</v>
      </c>
      <c r="H82" s="1" t="s">
        <v>608</v>
      </c>
    </row>
    <row r="83" spans="1:8" ht="24" customHeight="1">
      <c r="A83" s="31" t="s">
        <v>62</v>
      </c>
      <c r="B83" s="33" t="s">
        <v>779</v>
      </c>
      <c r="C83" s="83">
        <v>36</v>
      </c>
      <c r="D83" s="78">
        <f>C83*239.64</f>
        <v>8627.039999999999</v>
      </c>
      <c r="E83" s="33" t="s">
        <v>133</v>
      </c>
      <c r="G83" s="74" t="e">
        <f>#REF!*100/#REF!</f>
        <v>#REF!</v>
      </c>
      <c r="H83" s="1" t="s">
        <v>609</v>
      </c>
    </row>
    <row r="84" spans="1:8" ht="24" customHeight="1">
      <c r="A84" s="31" t="s">
        <v>63</v>
      </c>
      <c r="B84" s="33" t="s">
        <v>449</v>
      </c>
      <c r="C84" s="83">
        <v>65</v>
      </c>
      <c r="D84" s="78">
        <f>C84*239.64</f>
        <v>15576.599999999999</v>
      </c>
      <c r="E84" s="33" t="s">
        <v>278</v>
      </c>
      <c r="G84" s="74" t="e">
        <f>#REF!*100/#REF!</f>
        <v>#REF!</v>
      </c>
      <c r="H84" s="1" t="s">
        <v>610</v>
      </c>
    </row>
    <row r="85" spans="1:8" ht="24" customHeight="1">
      <c r="A85" s="91" t="s">
        <v>64</v>
      </c>
      <c r="B85" s="149" t="s">
        <v>702</v>
      </c>
      <c r="C85" s="90"/>
      <c r="D85" s="92"/>
      <c r="E85" s="109"/>
      <c r="H85" s="7"/>
    </row>
    <row r="86" spans="1:8" ht="33.75" customHeight="1">
      <c r="A86" s="31" t="s">
        <v>65</v>
      </c>
      <c r="B86" s="33" t="s">
        <v>778</v>
      </c>
      <c r="C86" s="83">
        <v>44</v>
      </c>
      <c r="D86" s="78">
        <f>C86*239.64</f>
        <v>10544.16</v>
      </c>
      <c r="E86" s="33" t="s">
        <v>724</v>
      </c>
      <c r="G86" s="74" t="e">
        <f>#REF!*100/#REF!</f>
        <v>#REF!</v>
      </c>
      <c r="H86" s="1" t="s">
        <v>611</v>
      </c>
    </row>
    <row r="87" spans="1:8" ht="24" customHeight="1">
      <c r="A87" s="31" t="s">
        <v>66</v>
      </c>
      <c r="B87" s="33" t="s">
        <v>779</v>
      </c>
      <c r="C87" s="83">
        <v>72</v>
      </c>
      <c r="D87" s="78">
        <f>C87*239.64</f>
        <v>17254.079999999998</v>
      </c>
      <c r="E87" s="33" t="s">
        <v>486</v>
      </c>
      <c r="G87" s="74" t="e">
        <f>#REF!*100/#REF!</f>
        <v>#REF!</v>
      </c>
      <c r="H87" s="1" t="s">
        <v>612</v>
      </c>
    </row>
    <row r="88" spans="1:8" ht="30" customHeight="1">
      <c r="A88" s="31" t="s">
        <v>67</v>
      </c>
      <c r="B88" s="33" t="s">
        <v>449</v>
      </c>
      <c r="C88" s="83">
        <v>130</v>
      </c>
      <c r="D88" s="78">
        <f>C88*239.64</f>
        <v>31153.199999999997</v>
      </c>
      <c r="E88" s="33" t="s">
        <v>487</v>
      </c>
      <c r="G88" s="74" t="e">
        <f>#REF!*100/#REF!</f>
        <v>#REF!</v>
      </c>
      <c r="H88" s="1" t="s">
        <v>613</v>
      </c>
    </row>
    <row r="89" spans="1:8" ht="24" customHeight="1">
      <c r="A89" s="91" t="s">
        <v>69</v>
      </c>
      <c r="B89" s="149" t="s">
        <v>68</v>
      </c>
      <c r="C89" s="90"/>
      <c r="D89" s="92"/>
      <c r="E89" s="109"/>
      <c r="H89" s="7"/>
    </row>
    <row r="90" spans="1:7" ht="24" customHeight="1">
      <c r="A90" s="31" t="s">
        <v>70</v>
      </c>
      <c r="B90" s="33" t="s">
        <v>807</v>
      </c>
      <c r="C90" s="83">
        <v>2.5</v>
      </c>
      <c r="D90" s="78">
        <f>C90*239.64</f>
        <v>599.0999999999999</v>
      </c>
      <c r="E90" s="33" t="s">
        <v>134</v>
      </c>
      <c r="G90" s="74" t="e">
        <f>#REF!*100/#REF!</f>
        <v>#REF!</v>
      </c>
    </row>
    <row r="91" spans="1:7" ht="24" customHeight="1">
      <c r="A91" s="31" t="s">
        <v>71</v>
      </c>
      <c r="B91" s="33" t="s">
        <v>808</v>
      </c>
      <c r="C91" s="83">
        <v>2.25</v>
      </c>
      <c r="D91" s="78">
        <f>C91*239.64</f>
        <v>539.1899999999999</v>
      </c>
      <c r="E91" s="33" t="s">
        <v>135</v>
      </c>
      <c r="G91" s="74" t="e">
        <f>#REF!*100/#REF!</f>
        <v>#REF!</v>
      </c>
    </row>
    <row r="92" spans="1:7" ht="24" customHeight="1">
      <c r="A92" s="31" t="s">
        <v>75</v>
      </c>
      <c r="B92" s="33" t="s">
        <v>152</v>
      </c>
      <c r="C92" s="83">
        <v>2</v>
      </c>
      <c r="D92" s="78">
        <f>C92*239.64</f>
        <v>479.28</v>
      </c>
      <c r="E92" s="33" t="s">
        <v>136</v>
      </c>
      <c r="G92" s="74" t="e">
        <f>#REF!*100/#REF!</f>
        <v>#REF!</v>
      </c>
    </row>
    <row r="93" spans="1:7" ht="24" customHeight="1">
      <c r="A93" s="31" t="s">
        <v>76</v>
      </c>
      <c r="B93" s="33" t="s">
        <v>614</v>
      </c>
      <c r="C93" s="83">
        <v>1.5</v>
      </c>
      <c r="D93" s="78">
        <f>C93*239.64</f>
        <v>359.46</v>
      </c>
      <c r="E93" s="33" t="s">
        <v>668</v>
      </c>
      <c r="G93" s="74" t="e">
        <f>#REF!*100/#REF!</f>
        <v>#REF!</v>
      </c>
    </row>
    <row r="94" spans="1:5" ht="24" customHeight="1">
      <c r="A94" s="91" t="s">
        <v>77</v>
      </c>
      <c r="B94" s="149" t="s">
        <v>73</v>
      </c>
      <c r="C94" s="90"/>
      <c r="D94" s="92"/>
      <c r="E94" s="109"/>
    </row>
    <row r="95" spans="1:7" ht="24" customHeight="1">
      <c r="A95" s="31" t="s">
        <v>78</v>
      </c>
      <c r="B95" s="33" t="s">
        <v>16</v>
      </c>
      <c r="C95" s="83">
        <v>2</v>
      </c>
      <c r="D95" s="78">
        <f>C95*239.64</f>
        <v>479.28</v>
      </c>
      <c r="E95" s="33" t="s">
        <v>725</v>
      </c>
      <c r="G95" s="74" t="e">
        <f>#REF!*100/#REF!</f>
        <v>#REF!</v>
      </c>
    </row>
    <row r="96" spans="1:7" ht="24" customHeight="1">
      <c r="A96" s="31" t="s">
        <v>79</v>
      </c>
      <c r="B96" s="33" t="s">
        <v>16</v>
      </c>
      <c r="C96" s="83">
        <v>3.5</v>
      </c>
      <c r="D96" s="78">
        <f>C96*239.64</f>
        <v>838.74</v>
      </c>
      <c r="E96" s="33" t="s">
        <v>726</v>
      </c>
      <c r="G96" s="74" t="e">
        <f>#REF!*100/#REF!</f>
        <v>#REF!</v>
      </c>
    </row>
    <row r="97" spans="1:7" ht="24" customHeight="1">
      <c r="A97" s="31" t="s">
        <v>671</v>
      </c>
      <c r="B97" s="33" t="s">
        <v>16</v>
      </c>
      <c r="C97" s="83">
        <v>2</v>
      </c>
      <c r="D97" s="78">
        <f>C97*239.64</f>
        <v>479.28</v>
      </c>
      <c r="E97" s="33" t="s">
        <v>137</v>
      </c>
      <c r="G97" s="74" t="e">
        <f>#REF!*100/#REF!</f>
        <v>#REF!</v>
      </c>
    </row>
    <row r="98" spans="1:7" ht="24" customHeight="1">
      <c r="A98" s="31" t="s">
        <v>672</v>
      </c>
      <c r="B98" s="33" t="s">
        <v>16</v>
      </c>
      <c r="C98" s="83">
        <v>6</v>
      </c>
      <c r="D98" s="78">
        <f>C98*239.64</f>
        <v>1437.84</v>
      </c>
      <c r="E98" s="33" t="s">
        <v>138</v>
      </c>
      <c r="G98" s="74" t="e">
        <f>#REF!*100/#REF!</f>
        <v>#REF!</v>
      </c>
    </row>
    <row r="99" spans="1:5" ht="24" customHeight="1">
      <c r="A99" s="39"/>
      <c r="B99" s="95" t="s">
        <v>615</v>
      </c>
      <c r="C99" s="84"/>
      <c r="D99" s="79"/>
      <c r="E99" s="115"/>
    </row>
    <row r="100" spans="1:5" ht="24" customHeight="1">
      <c r="A100" s="39"/>
      <c r="B100" s="95"/>
      <c r="C100" s="84"/>
      <c r="D100" s="79"/>
      <c r="E100" s="115"/>
    </row>
    <row r="101" ht="24" customHeight="1">
      <c r="E101" s="68" t="s">
        <v>478</v>
      </c>
    </row>
    <row r="102" spans="1:7" s="19" customFormat="1" ht="24" customHeight="1">
      <c r="A102" s="98" t="s">
        <v>43</v>
      </c>
      <c r="B102" s="99" t="s">
        <v>42</v>
      </c>
      <c r="C102" s="101"/>
      <c r="D102" s="100"/>
      <c r="E102" s="112"/>
      <c r="F102" s="69"/>
      <c r="G102" s="74"/>
    </row>
    <row r="103" spans="1:7" s="11" customFormat="1" ht="24" customHeight="1">
      <c r="A103" s="40" t="s">
        <v>667</v>
      </c>
      <c r="B103" s="107" t="s">
        <v>772</v>
      </c>
      <c r="C103" s="82" t="s">
        <v>552</v>
      </c>
      <c r="D103" s="77" t="s">
        <v>458</v>
      </c>
      <c r="E103" s="18" t="s">
        <v>774</v>
      </c>
      <c r="G103" s="74"/>
    </row>
    <row r="104" spans="1:7" s="7" customFormat="1" ht="24" customHeight="1">
      <c r="A104" s="88" t="s">
        <v>77</v>
      </c>
      <c r="B104" s="148" t="s">
        <v>161</v>
      </c>
      <c r="C104" s="90"/>
      <c r="D104" s="94"/>
      <c r="E104" s="108"/>
      <c r="F104" s="70"/>
      <c r="G104" s="74"/>
    </row>
    <row r="105" spans="1:7" ht="24" customHeight="1">
      <c r="A105" s="31" t="s">
        <v>78</v>
      </c>
      <c r="B105" s="33" t="s">
        <v>16</v>
      </c>
      <c r="C105" s="83">
        <v>15</v>
      </c>
      <c r="D105" s="78">
        <f>C105*239.64</f>
        <v>3594.6</v>
      </c>
      <c r="E105" s="33" t="s">
        <v>358</v>
      </c>
      <c r="G105" s="74" t="e">
        <f>#REF!*100/#REF!</f>
        <v>#REF!</v>
      </c>
    </row>
    <row r="106" spans="1:8" ht="24" customHeight="1">
      <c r="A106" s="31" t="s">
        <v>79</v>
      </c>
      <c r="B106" s="33" t="s">
        <v>17</v>
      </c>
      <c r="C106" s="83">
        <v>60</v>
      </c>
      <c r="D106" s="78">
        <f>C106*239.64</f>
        <v>14378.4</v>
      </c>
      <c r="E106" s="33" t="s">
        <v>359</v>
      </c>
      <c r="G106" s="74" t="e">
        <f>#REF!*100/#REF!</f>
        <v>#REF!</v>
      </c>
      <c r="H106" s="1" t="s">
        <v>616</v>
      </c>
    </row>
    <row r="107" spans="1:8" ht="24" customHeight="1">
      <c r="A107" s="31" t="s">
        <v>80</v>
      </c>
      <c r="B107" s="33" t="s">
        <v>16</v>
      </c>
      <c r="C107" s="83">
        <v>120</v>
      </c>
      <c r="D107" s="78">
        <f>C107*239.64</f>
        <v>28756.8</v>
      </c>
      <c r="E107" s="33" t="s">
        <v>360</v>
      </c>
      <c r="G107" s="74" t="e">
        <f>#REF!*100/#REF!</f>
        <v>#REF!</v>
      </c>
      <c r="H107" s="1" t="s">
        <v>617</v>
      </c>
    </row>
    <row r="108" spans="1:8" ht="24" customHeight="1">
      <c r="A108" s="31" t="s">
        <v>81</v>
      </c>
      <c r="B108" s="33" t="s">
        <v>16</v>
      </c>
      <c r="C108" s="83">
        <v>180</v>
      </c>
      <c r="D108" s="78">
        <f>C108*239.64</f>
        <v>43135.2</v>
      </c>
      <c r="E108" s="33" t="s">
        <v>361</v>
      </c>
      <c r="G108" s="74" t="e">
        <f>#REF!*100/#REF!</f>
        <v>#REF!</v>
      </c>
      <c r="H108" s="1" t="s">
        <v>618</v>
      </c>
    </row>
    <row r="109" spans="1:7" s="7" customFormat="1" ht="24" customHeight="1">
      <c r="A109" s="88" t="s">
        <v>87</v>
      </c>
      <c r="B109" s="148" t="s">
        <v>85</v>
      </c>
      <c r="C109" s="90"/>
      <c r="D109" s="94"/>
      <c r="E109" s="108"/>
      <c r="F109" s="70"/>
      <c r="G109" s="74"/>
    </row>
    <row r="110" spans="1:7" ht="24" customHeight="1">
      <c r="A110" s="31" t="s">
        <v>78</v>
      </c>
      <c r="B110" s="33" t="s">
        <v>32</v>
      </c>
      <c r="C110" s="83">
        <v>7</v>
      </c>
      <c r="D110" s="78">
        <f>C110*239.64</f>
        <v>1677.48</v>
      </c>
      <c r="E110" s="33" t="s">
        <v>139</v>
      </c>
      <c r="G110" s="74" t="e">
        <f>#REF!*100/#REF!</f>
        <v>#REF!</v>
      </c>
    </row>
    <row r="111" spans="1:8" ht="24" customHeight="1">
      <c r="A111" s="31" t="s">
        <v>79</v>
      </c>
      <c r="B111" s="33" t="s">
        <v>32</v>
      </c>
      <c r="C111" s="83">
        <v>21</v>
      </c>
      <c r="D111" s="78">
        <f>C111*239.64</f>
        <v>5032.44</v>
      </c>
      <c r="E111" s="33" t="s">
        <v>140</v>
      </c>
      <c r="G111" s="74" t="e">
        <f>#REF!*100/#REF!</f>
        <v>#REF!</v>
      </c>
      <c r="H111" s="1" t="s">
        <v>619</v>
      </c>
    </row>
    <row r="112" spans="1:8" ht="24" customHeight="1">
      <c r="A112" s="31" t="s">
        <v>80</v>
      </c>
      <c r="B112" s="33" t="s">
        <v>32</v>
      </c>
      <c r="C112" s="83">
        <v>42</v>
      </c>
      <c r="D112" s="78">
        <f>C112*239.64</f>
        <v>10064.88</v>
      </c>
      <c r="E112" s="33" t="s">
        <v>121</v>
      </c>
      <c r="G112" s="74" t="e">
        <f>#REF!*100/#REF!</f>
        <v>#REF!</v>
      </c>
      <c r="H112" s="1" t="s">
        <v>620</v>
      </c>
    </row>
    <row r="113" spans="1:8" ht="24" customHeight="1">
      <c r="A113" s="31" t="s">
        <v>81</v>
      </c>
      <c r="B113" s="33" t="s">
        <v>32</v>
      </c>
      <c r="C113" s="83">
        <v>63</v>
      </c>
      <c r="D113" s="78">
        <f>C113*239.64</f>
        <v>15097.32</v>
      </c>
      <c r="E113" s="33" t="s">
        <v>122</v>
      </c>
      <c r="G113" s="74" t="e">
        <f>#REF!*100/#REF!</f>
        <v>#REF!</v>
      </c>
      <c r="H113" s="1" t="s">
        <v>621</v>
      </c>
    </row>
    <row r="114" spans="1:7" s="7" customFormat="1" ht="24" customHeight="1">
      <c r="A114" s="88" t="s">
        <v>92</v>
      </c>
      <c r="B114" s="148" t="s">
        <v>86</v>
      </c>
      <c r="C114" s="90"/>
      <c r="D114" s="94"/>
      <c r="E114" s="108"/>
      <c r="F114" s="70"/>
      <c r="G114" s="74"/>
    </row>
    <row r="115" spans="1:7" ht="24" customHeight="1">
      <c r="A115" s="31" t="s">
        <v>88</v>
      </c>
      <c r="B115" s="33" t="s">
        <v>34</v>
      </c>
      <c r="C115" s="83">
        <v>7.5</v>
      </c>
      <c r="D115" s="78">
        <f>C115*239.64</f>
        <v>1797.3</v>
      </c>
      <c r="E115" s="33" t="s">
        <v>141</v>
      </c>
      <c r="G115" s="74" t="e">
        <f>#REF!*100/#REF!</f>
        <v>#REF!</v>
      </c>
    </row>
    <row r="116" spans="1:8" ht="24" customHeight="1">
      <c r="A116" s="31" t="s">
        <v>89</v>
      </c>
      <c r="B116" s="33" t="s">
        <v>34</v>
      </c>
      <c r="C116" s="83">
        <v>30</v>
      </c>
      <c r="D116" s="78">
        <f>C116*239.64</f>
        <v>7189.2</v>
      </c>
      <c r="E116" s="33" t="s">
        <v>142</v>
      </c>
      <c r="G116" s="74" t="e">
        <f>#REF!*100/#REF!</f>
        <v>#REF!</v>
      </c>
      <c r="H116" s="1" t="s">
        <v>622</v>
      </c>
    </row>
    <row r="117" spans="1:8" ht="24" customHeight="1">
      <c r="A117" s="31" t="s">
        <v>90</v>
      </c>
      <c r="B117" s="33" t="s">
        <v>34</v>
      </c>
      <c r="C117" s="83">
        <v>60</v>
      </c>
      <c r="D117" s="78">
        <f>C117*239.64</f>
        <v>14378.4</v>
      </c>
      <c r="E117" s="33" t="s">
        <v>143</v>
      </c>
      <c r="G117" s="74" t="e">
        <f>#REF!*100/#REF!</f>
        <v>#REF!</v>
      </c>
      <c r="H117" s="1" t="s">
        <v>623</v>
      </c>
    </row>
    <row r="118" spans="1:8" ht="24" customHeight="1">
      <c r="A118" s="31" t="s">
        <v>91</v>
      </c>
      <c r="B118" s="33" t="s">
        <v>34</v>
      </c>
      <c r="C118" s="83">
        <v>90</v>
      </c>
      <c r="D118" s="78">
        <f>C118*239.64</f>
        <v>21567.6</v>
      </c>
      <c r="E118" s="33" t="s">
        <v>144</v>
      </c>
      <c r="G118" s="74" t="e">
        <f>#REF!*100/#REF!</f>
        <v>#REF!</v>
      </c>
      <c r="H118" s="1" t="s">
        <v>624</v>
      </c>
    </row>
    <row r="119" spans="1:7" s="7" customFormat="1" ht="24" customHeight="1">
      <c r="A119" s="88" t="s">
        <v>95</v>
      </c>
      <c r="B119" s="148" t="s">
        <v>167</v>
      </c>
      <c r="C119" s="90"/>
      <c r="D119" s="94"/>
      <c r="E119" s="108"/>
      <c r="F119" s="70"/>
      <c r="G119" s="74"/>
    </row>
    <row r="120" spans="1:7" ht="24" customHeight="1">
      <c r="A120" s="31" t="s">
        <v>93</v>
      </c>
      <c r="B120" s="33" t="s">
        <v>16</v>
      </c>
      <c r="C120" s="83">
        <v>400</v>
      </c>
      <c r="D120" s="78">
        <f>C120*239.64</f>
        <v>95856</v>
      </c>
      <c r="E120" s="33" t="s">
        <v>145</v>
      </c>
      <c r="G120" s="74" t="e">
        <f>#REF!*100/#REF!</f>
        <v>#REF!</v>
      </c>
    </row>
    <row r="121" spans="1:7" ht="24" customHeight="1">
      <c r="A121" s="31" t="s">
        <v>94</v>
      </c>
      <c r="B121" s="33" t="s">
        <v>16</v>
      </c>
      <c r="C121" s="83">
        <v>100</v>
      </c>
      <c r="D121" s="78">
        <f>C121*239.64</f>
        <v>23964</v>
      </c>
      <c r="E121" s="33" t="s">
        <v>146</v>
      </c>
      <c r="G121" s="74" t="e">
        <f>#REF!*100/#REF!</f>
        <v>#REF!</v>
      </c>
    </row>
    <row r="122" spans="1:7" s="7" customFormat="1" ht="24" customHeight="1">
      <c r="A122" s="88" t="s">
        <v>98</v>
      </c>
      <c r="B122" s="148" t="s">
        <v>101</v>
      </c>
      <c r="C122" s="90"/>
      <c r="D122" s="94"/>
      <c r="E122" s="108"/>
      <c r="F122" s="70"/>
      <c r="G122" s="74"/>
    </row>
    <row r="123" spans="1:7" ht="24" customHeight="1">
      <c r="A123" s="31" t="s">
        <v>96</v>
      </c>
      <c r="B123" s="33" t="s">
        <v>32</v>
      </c>
      <c r="C123" s="83">
        <v>200</v>
      </c>
      <c r="D123" s="78">
        <f>C123*239.64</f>
        <v>47928</v>
      </c>
      <c r="E123" s="33" t="s">
        <v>147</v>
      </c>
      <c r="G123" s="74" t="e">
        <f>#REF!*100/#REF!</f>
        <v>#REF!</v>
      </c>
    </row>
    <row r="124" spans="1:7" ht="24" customHeight="1">
      <c r="A124" s="31" t="s">
        <v>97</v>
      </c>
      <c r="B124" s="33" t="s">
        <v>32</v>
      </c>
      <c r="C124" s="83">
        <v>50</v>
      </c>
      <c r="D124" s="78">
        <f>C124*239.64</f>
        <v>11982</v>
      </c>
      <c r="E124" s="33" t="s">
        <v>148</v>
      </c>
      <c r="G124" s="74" t="e">
        <f>#REF!*100/#REF!</f>
        <v>#REF!</v>
      </c>
    </row>
    <row r="125" spans="1:7" s="7" customFormat="1" ht="24" customHeight="1">
      <c r="A125" s="88" t="s">
        <v>771</v>
      </c>
      <c r="B125" s="148" t="s">
        <v>86</v>
      </c>
      <c r="C125" s="90"/>
      <c r="D125" s="94"/>
      <c r="E125" s="108"/>
      <c r="F125" s="70"/>
      <c r="G125" s="74"/>
    </row>
    <row r="126" spans="1:7" ht="24" customHeight="1">
      <c r="A126" s="31" t="s">
        <v>99</v>
      </c>
      <c r="B126" s="33" t="s">
        <v>34</v>
      </c>
      <c r="C126" s="83">
        <v>300</v>
      </c>
      <c r="D126" s="78">
        <f>C126*239.64</f>
        <v>71892</v>
      </c>
      <c r="E126" s="33" t="s">
        <v>149</v>
      </c>
      <c r="G126" s="74" t="e">
        <f>#REF!*100/#REF!</f>
        <v>#REF!</v>
      </c>
    </row>
    <row r="127" spans="1:7" ht="24" customHeight="1">
      <c r="A127" s="31" t="s">
        <v>100</v>
      </c>
      <c r="B127" s="33" t="s">
        <v>34</v>
      </c>
      <c r="C127" s="83">
        <v>75</v>
      </c>
      <c r="D127" s="78">
        <f>C127*239.64</f>
        <v>17973</v>
      </c>
      <c r="E127" s="33" t="s">
        <v>150</v>
      </c>
      <c r="G127" s="74" t="e">
        <f>#REF!*100/#REF!</f>
        <v>#REF!</v>
      </c>
    </row>
    <row r="136" ht="24" customHeight="1">
      <c r="E136" s="68" t="s">
        <v>479</v>
      </c>
    </row>
    <row r="137" spans="1:7" s="19" customFormat="1" ht="24" customHeight="1">
      <c r="A137" s="102" t="s">
        <v>105</v>
      </c>
      <c r="B137" s="103" t="s">
        <v>179</v>
      </c>
      <c r="C137" s="105"/>
      <c r="D137" s="104"/>
      <c r="E137" s="113"/>
      <c r="F137" s="69"/>
      <c r="G137" s="74"/>
    </row>
    <row r="138" spans="1:7" s="11" customFormat="1" ht="24" customHeight="1">
      <c r="A138" s="40" t="s">
        <v>667</v>
      </c>
      <c r="B138" s="107" t="s">
        <v>772</v>
      </c>
      <c r="C138" s="82" t="s">
        <v>552</v>
      </c>
      <c r="D138" s="77" t="s">
        <v>458</v>
      </c>
      <c r="E138" s="18" t="s">
        <v>774</v>
      </c>
      <c r="G138" s="74"/>
    </row>
    <row r="139" spans="1:7" s="7" customFormat="1" ht="24" customHeight="1">
      <c r="A139" s="88" t="s">
        <v>106</v>
      </c>
      <c r="B139" s="148" t="s">
        <v>160</v>
      </c>
      <c r="C139" s="90"/>
      <c r="D139" s="94"/>
      <c r="E139" s="108"/>
      <c r="F139" s="70"/>
      <c r="G139" s="74"/>
    </row>
    <row r="140" spans="1:7" ht="24" customHeight="1">
      <c r="A140" s="31" t="s">
        <v>107</v>
      </c>
      <c r="B140" s="33" t="s">
        <v>16</v>
      </c>
      <c r="C140" s="83">
        <v>25</v>
      </c>
      <c r="D140" s="78">
        <f>C140*239.64</f>
        <v>5991</v>
      </c>
      <c r="E140" s="33" t="s">
        <v>362</v>
      </c>
      <c r="G140" s="74" t="e">
        <f>#REF!*100/#REF!</f>
        <v>#REF!</v>
      </c>
    </row>
    <row r="141" spans="1:8" ht="24" customHeight="1">
      <c r="A141" s="31" t="s">
        <v>108</v>
      </c>
      <c r="B141" s="33" t="s">
        <v>17</v>
      </c>
      <c r="C141" s="83">
        <v>37.5</v>
      </c>
      <c r="D141" s="78">
        <f>C141*239.64</f>
        <v>8986.5</v>
      </c>
      <c r="E141" s="33" t="s">
        <v>363</v>
      </c>
      <c r="G141" s="74" t="e">
        <f>#REF!*100/#REF!</f>
        <v>#REF!</v>
      </c>
      <c r="H141" s="1" t="s">
        <v>625</v>
      </c>
    </row>
    <row r="142" spans="1:8" ht="24" customHeight="1">
      <c r="A142" s="31" t="s">
        <v>109</v>
      </c>
      <c r="B142" s="33" t="s">
        <v>16</v>
      </c>
      <c r="C142" s="83">
        <v>75</v>
      </c>
      <c r="D142" s="78">
        <f>C142*239.64</f>
        <v>17973</v>
      </c>
      <c r="E142" s="33" t="s">
        <v>364</v>
      </c>
      <c r="G142" s="74" t="e">
        <f>#REF!*100/#REF!</f>
        <v>#REF!</v>
      </c>
      <c r="H142" s="1" t="s">
        <v>626</v>
      </c>
    </row>
    <row r="143" spans="1:8" ht="24" customHeight="1">
      <c r="A143" s="31" t="s">
        <v>110</v>
      </c>
      <c r="B143" s="33" t="s">
        <v>16</v>
      </c>
      <c r="C143" s="83">
        <v>112.5</v>
      </c>
      <c r="D143" s="78">
        <f>C143*239.64</f>
        <v>26959.5</v>
      </c>
      <c r="E143" s="33" t="s">
        <v>365</v>
      </c>
      <c r="G143" s="74" t="e">
        <f>#REF!*100/#REF!</f>
        <v>#REF!</v>
      </c>
      <c r="H143" s="1" t="s">
        <v>627</v>
      </c>
    </row>
    <row r="144" spans="1:7" s="7" customFormat="1" ht="24" customHeight="1">
      <c r="A144" s="88" t="s">
        <v>115</v>
      </c>
      <c r="B144" s="148" t="s">
        <v>157</v>
      </c>
      <c r="C144" s="90"/>
      <c r="D144" s="94"/>
      <c r="E144" s="108"/>
      <c r="F144" s="70"/>
      <c r="G144" s="74"/>
    </row>
    <row r="145" spans="1:7" ht="24" customHeight="1">
      <c r="A145" s="31" t="s">
        <v>116</v>
      </c>
      <c r="B145" s="33" t="s">
        <v>32</v>
      </c>
      <c r="C145" s="83">
        <v>12.5</v>
      </c>
      <c r="D145" s="78">
        <f>C145*239.64</f>
        <v>2995.5</v>
      </c>
      <c r="E145" s="33" t="s">
        <v>366</v>
      </c>
      <c r="G145" s="74" t="e">
        <f>#REF!*100/#REF!</f>
        <v>#REF!</v>
      </c>
    </row>
    <row r="146" spans="1:8" ht="24" customHeight="1">
      <c r="A146" s="31" t="s">
        <v>117</v>
      </c>
      <c r="B146" s="33" t="s">
        <v>32</v>
      </c>
      <c r="C146" s="83">
        <v>18.75</v>
      </c>
      <c r="D146" s="78">
        <f>C146*239.64</f>
        <v>4493.25</v>
      </c>
      <c r="E146" s="33" t="s">
        <v>367</v>
      </c>
      <c r="G146" s="74" t="e">
        <f>#REF!*100/#REF!</f>
        <v>#REF!</v>
      </c>
      <c r="H146" s="1" t="s">
        <v>628</v>
      </c>
    </row>
    <row r="147" spans="1:8" ht="24" customHeight="1">
      <c r="A147" s="31" t="s">
        <v>118</v>
      </c>
      <c r="B147" s="33" t="s">
        <v>32</v>
      </c>
      <c r="C147" s="83">
        <v>37.5</v>
      </c>
      <c r="D147" s="78">
        <f>C147*239.64</f>
        <v>8986.5</v>
      </c>
      <c r="E147" s="33" t="s">
        <v>368</v>
      </c>
      <c r="G147" s="74" t="e">
        <f>#REF!*100/#REF!</f>
        <v>#REF!</v>
      </c>
      <c r="H147" s="1" t="s">
        <v>629</v>
      </c>
    </row>
    <row r="148" spans="1:8" ht="24" customHeight="1">
      <c r="A148" s="31" t="s">
        <v>119</v>
      </c>
      <c r="B148" s="33" t="s">
        <v>32</v>
      </c>
      <c r="C148" s="83">
        <v>56.25</v>
      </c>
      <c r="D148" s="78">
        <f>C148*239.64</f>
        <v>13479.75</v>
      </c>
      <c r="E148" s="33" t="s">
        <v>369</v>
      </c>
      <c r="G148" s="74" t="e">
        <f>#REF!*100/#REF!</f>
        <v>#REF!</v>
      </c>
      <c r="H148" s="1" t="s">
        <v>630</v>
      </c>
    </row>
    <row r="149" spans="1:7" s="7" customFormat="1" ht="24" customHeight="1">
      <c r="A149" s="88" t="s">
        <v>158</v>
      </c>
      <c r="B149" s="148" t="s">
        <v>513</v>
      </c>
      <c r="C149" s="90"/>
      <c r="D149" s="94"/>
      <c r="E149" s="108"/>
      <c r="F149" s="70"/>
      <c r="G149" s="74"/>
    </row>
    <row r="150" spans="1:7" ht="24" customHeight="1">
      <c r="A150" s="31" t="s">
        <v>159</v>
      </c>
      <c r="B150" s="33" t="s">
        <v>34</v>
      </c>
      <c r="C150" s="83">
        <v>13</v>
      </c>
      <c r="D150" s="78">
        <f>C150*239.64</f>
        <v>3115.3199999999997</v>
      </c>
      <c r="E150" s="33" t="s">
        <v>370</v>
      </c>
      <c r="G150" s="74" t="e">
        <f>#REF!*100/#REF!</f>
        <v>#REF!</v>
      </c>
    </row>
    <row r="151" spans="1:8" ht="24" customHeight="1">
      <c r="A151" s="31" t="s">
        <v>163</v>
      </c>
      <c r="B151" s="33" t="s">
        <v>34</v>
      </c>
      <c r="C151" s="83">
        <v>19.5</v>
      </c>
      <c r="D151" s="78">
        <f>C151*239.64</f>
        <v>4672.98</v>
      </c>
      <c r="E151" s="33" t="s">
        <v>371</v>
      </c>
      <c r="G151" s="74" t="e">
        <f>#REF!*100/#REF!</f>
        <v>#REF!</v>
      </c>
      <c r="H151" s="1" t="s">
        <v>631</v>
      </c>
    </row>
    <row r="152" spans="1:8" ht="24" customHeight="1">
      <c r="A152" s="31" t="s">
        <v>164</v>
      </c>
      <c r="B152" s="33" t="s">
        <v>34</v>
      </c>
      <c r="C152" s="83">
        <v>39</v>
      </c>
      <c r="D152" s="78">
        <f>C152*239.64</f>
        <v>9345.96</v>
      </c>
      <c r="E152" s="33" t="s">
        <v>372</v>
      </c>
      <c r="G152" s="74" t="e">
        <f>#REF!*100/#REF!</f>
        <v>#REF!</v>
      </c>
      <c r="H152" s="1" t="s">
        <v>632</v>
      </c>
    </row>
    <row r="153" spans="1:8" ht="24" customHeight="1">
      <c r="A153" s="31" t="s">
        <v>165</v>
      </c>
      <c r="B153" s="33" t="s">
        <v>34</v>
      </c>
      <c r="C153" s="83">
        <v>58.5</v>
      </c>
      <c r="D153" s="78">
        <f>C153*239.64</f>
        <v>14018.939999999999</v>
      </c>
      <c r="E153" s="33" t="s">
        <v>373</v>
      </c>
      <c r="G153" s="74" t="e">
        <f>#REF!*100/#REF!</f>
        <v>#REF!</v>
      </c>
      <c r="H153" s="1" t="s">
        <v>633</v>
      </c>
    </row>
    <row r="154" spans="1:7" s="7" customFormat="1" ht="24" customHeight="1">
      <c r="A154" s="88" t="s">
        <v>170</v>
      </c>
      <c r="B154" s="148" t="s">
        <v>166</v>
      </c>
      <c r="C154" s="90"/>
      <c r="D154" s="94"/>
      <c r="E154" s="108"/>
      <c r="F154" s="70"/>
      <c r="G154" s="74"/>
    </row>
    <row r="155" spans="1:8" ht="24" customHeight="1">
      <c r="A155" s="31" t="s">
        <v>171</v>
      </c>
      <c r="B155" s="33" t="s">
        <v>16</v>
      </c>
      <c r="C155" s="83">
        <v>700</v>
      </c>
      <c r="D155" s="78">
        <f>C155*239.64</f>
        <v>167748</v>
      </c>
      <c r="E155" s="33" t="s">
        <v>374</v>
      </c>
      <c r="G155" s="74" t="e">
        <f>#REF!*100/#REF!</f>
        <v>#REF!</v>
      </c>
      <c r="H155" s="1" t="s">
        <v>634</v>
      </c>
    </row>
    <row r="156" spans="1:8" ht="24" customHeight="1">
      <c r="A156" s="31" t="s">
        <v>172</v>
      </c>
      <c r="B156" s="33" t="s">
        <v>16</v>
      </c>
      <c r="C156" s="83">
        <v>175</v>
      </c>
      <c r="D156" s="78">
        <f>C156*239.64</f>
        <v>41937</v>
      </c>
      <c r="E156" s="33" t="s">
        <v>375</v>
      </c>
      <c r="G156" s="74" t="e">
        <f>#REF!*100/#REF!</f>
        <v>#REF!</v>
      </c>
      <c r="H156" s="1" t="s">
        <v>635</v>
      </c>
    </row>
    <row r="157" spans="1:7" s="7" customFormat="1" ht="24" customHeight="1">
      <c r="A157" s="88" t="s">
        <v>173</v>
      </c>
      <c r="B157" s="148" t="s">
        <v>168</v>
      </c>
      <c r="C157" s="90"/>
      <c r="D157" s="94"/>
      <c r="E157" s="108"/>
      <c r="F157" s="70"/>
      <c r="G157" s="74"/>
    </row>
    <row r="158" spans="1:8" ht="24" customHeight="1">
      <c r="A158" s="31" t="s">
        <v>174</v>
      </c>
      <c r="B158" s="33" t="s">
        <v>32</v>
      </c>
      <c r="C158" s="83">
        <v>350</v>
      </c>
      <c r="D158" s="78">
        <f>C158*239.64</f>
        <v>83874</v>
      </c>
      <c r="E158" s="33" t="s">
        <v>376</v>
      </c>
      <c r="G158" s="74" t="e">
        <f>#REF!*100/#REF!</f>
        <v>#REF!</v>
      </c>
      <c r="H158" s="1" t="s">
        <v>635</v>
      </c>
    </row>
    <row r="159" spans="1:8" ht="24" customHeight="1">
      <c r="A159" s="31" t="s">
        <v>175</v>
      </c>
      <c r="B159" s="33" t="s">
        <v>32</v>
      </c>
      <c r="C159" s="83">
        <v>87.5</v>
      </c>
      <c r="D159" s="78">
        <f>C159*239.64</f>
        <v>20968.5</v>
      </c>
      <c r="E159" s="33" t="s">
        <v>377</v>
      </c>
      <c r="G159" s="74" t="e">
        <f>#REF!*100/#REF!</f>
        <v>#REF!</v>
      </c>
      <c r="H159" s="1" t="s">
        <v>636</v>
      </c>
    </row>
    <row r="160" spans="1:7" s="7" customFormat="1" ht="24" customHeight="1">
      <c r="A160" s="88" t="s">
        <v>176</v>
      </c>
      <c r="B160" s="148" t="s">
        <v>169</v>
      </c>
      <c r="C160" s="90"/>
      <c r="D160" s="94"/>
      <c r="E160" s="108"/>
      <c r="F160" s="70"/>
      <c r="G160" s="74"/>
    </row>
    <row r="161" spans="1:8" ht="24" customHeight="1">
      <c r="A161" s="31" t="s">
        <v>177</v>
      </c>
      <c r="B161" s="33" t="s">
        <v>34</v>
      </c>
      <c r="C161" s="83">
        <v>525</v>
      </c>
      <c r="D161" s="78">
        <f>C161*239.64</f>
        <v>125811</v>
      </c>
      <c r="E161" s="33" t="s">
        <v>378</v>
      </c>
      <c r="G161" s="74" t="e">
        <f>#REF!*100/#REF!</f>
        <v>#REF!</v>
      </c>
      <c r="H161" s="1" t="s">
        <v>637</v>
      </c>
    </row>
    <row r="162" spans="1:8" ht="24" customHeight="1">
      <c r="A162" s="31" t="s">
        <v>178</v>
      </c>
      <c r="B162" s="33" t="s">
        <v>34</v>
      </c>
      <c r="C162" s="83">
        <v>131</v>
      </c>
      <c r="D162" s="78">
        <f>C162*239.64</f>
        <v>31392.839999999997</v>
      </c>
      <c r="E162" s="33" t="s">
        <v>379</v>
      </c>
      <c r="G162" s="74" t="e">
        <f>#REF!*100/#REF!</f>
        <v>#REF!</v>
      </c>
      <c r="H162" s="1" t="s">
        <v>638</v>
      </c>
    </row>
    <row r="163" spans="1:7" s="7" customFormat="1" ht="24" customHeight="1">
      <c r="A163" s="88" t="s">
        <v>180</v>
      </c>
      <c r="B163" s="148" t="s">
        <v>181</v>
      </c>
      <c r="C163" s="90"/>
      <c r="D163" s="94"/>
      <c r="E163" s="108"/>
      <c r="F163" s="70"/>
      <c r="G163" s="74"/>
    </row>
    <row r="164" spans="1:7" ht="24" customHeight="1">
      <c r="A164" s="31" t="s">
        <v>182</v>
      </c>
      <c r="B164" s="33" t="s">
        <v>184</v>
      </c>
      <c r="C164" s="83">
        <v>8</v>
      </c>
      <c r="D164" s="78">
        <f>C164*239.64</f>
        <v>1917.12</v>
      </c>
      <c r="E164" s="33" t="s">
        <v>380</v>
      </c>
      <c r="G164" s="74" t="e">
        <f>#REF!*100/#REF!</f>
        <v>#REF!</v>
      </c>
    </row>
    <row r="165" spans="1:7" ht="24" customHeight="1">
      <c r="A165" s="31" t="s">
        <v>12</v>
      </c>
      <c r="B165" s="33" t="s">
        <v>13</v>
      </c>
      <c r="C165" s="83">
        <v>10</v>
      </c>
      <c r="D165" s="78">
        <f>C165*239.64</f>
        <v>2396.3999999999996</v>
      </c>
      <c r="E165" s="33" t="s">
        <v>381</v>
      </c>
      <c r="G165" s="74" t="e">
        <f>#REF!*100/#REF!</f>
        <v>#REF!</v>
      </c>
    </row>
    <row r="171" ht="24" customHeight="1">
      <c r="E171" s="68" t="s">
        <v>480</v>
      </c>
    </row>
    <row r="172" spans="1:7" s="19" customFormat="1" ht="24" customHeight="1">
      <c r="A172" s="121" t="s">
        <v>185</v>
      </c>
      <c r="B172" s="122" t="s">
        <v>186</v>
      </c>
      <c r="C172" s="124"/>
      <c r="D172" s="123"/>
      <c r="E172" s="125"/>
      <c r="F172" s="69"/>
      <c r="G172" s="74"/>
    </row>
    <row r="173" spans="1:7" s="11" customFormat="1" ht="24" customHeight="1">
      <c r="A173" s="40" t="s">
        <v>776</v>
      </c>
      <c r="B173" s="107" t="s">
        <v>772</v>
      </c>
      <c r="C173" s="82" t="s">
        <v>457</v>
      </c>
      <c r="D173" s="77" t="s">
        <v>458</v>
      </c>
      <c r="E173" s="18" t="s">
        <v>774</v>
      </c>
      <c r="G173" s="74"/>
    </row>
    <row r="174" spans="1:7" s="7" customFormat="1" ht="24" customHeight="1">
      <c r="A174" s="88" t="s">
        <v>187</v>
      </c>
      <c r="B174" s="148" t="s">
        <v>206</v>
      </c>
      <c r="C174" s="90"/>
      <c r="D174" s="94"/>
      <c r="E174" s="108"/>
      <c r="F174" s="70"/>
      <c r="G174" s="74"/>
    </row>
    <row r="175" spans="1:7" ht="24" customHeight="1">
      <c r="A175" s="31" t="s">
        <v>188</v>
      </c>
      <c r="B175" s="33" t="s">
        <v>16</v>
      </c>
      <c r="C175" s="83">
        <v>50</v>
      </c>
      <c r="D175" s="78">
        <f>C175*239.64</f>
        <v>11982</v>
      </c>
      <c r="E175" s="33" t="s">
        <v>382</v>
      </c>
      <c r="G175" s="74" t="e">
        <f>#REF!*100/#REF!</f>
        <v>#REF!</v>
      </c>
    </row>
    <row r="176" spans="1:8" ht="24" customHeight="1">
      <c r="A176" s="31" t="s">
        <v>189</v>
      </c>
      <c r="B176" s="33" t="s">
        <v>17</v>
      </c>
      <c r="C176" s="83">
        <v>75</v>
      </c>
      <c r="D176" s="78">
        <f>C176*239.64</f>
        <v>17973</v>
      </c>
      <c r="E176" s="33" t="s">
        <v>383</v>
      </c>
      <c r="G176" s="74" t="e">
        <f>#REF!*100/#REF!</f>
        <v>#REF!</v>
      </c>
      <c r="H176" s="1" t="s">
        <v>639</v>
      </c>
    </row>
    <row r="177" spans="1:8" ht="24" customHeight="1">
      <c r="A177" s="31" t="s">
        <v>190</v>
      </c>
      <c r="B177" s="33" t="s">
        <v>16</v>
      </c>
      <c r="C177" s="83">
        <v>112.5</v>
      </c>
      <c r="D177" s="78">
        <f>C177*239.64</f>
        <v>26959.5</v>
      </c>
      <c r="E177" s="33" t="s">
        <v>384</v>
      </c>
      <c r="G177" s="74" t="e">
        <f>#REF!*100/#REF!</f>
        <v>#REF!</v>
      </c>
      <c r="H177" s="1" t="s">
        <v>640</v>
      </c>
    </row>
    <row r="178" spans="1:8" ht="24" customHeight="1">
      <c r="A178" s="31" t="s">
        <v>191</v>
      </c>
      <c r="B178" s="33" t="s">
        <v>16</v>
      </c>
      <c r="C178" s="83">
        <v>168.75</v>
      </c>
      <c r="D178" s="78">
        <f>C178*239.64</f>
        <v>40439.25</v>
      </c>
      <c r="E178" s="33" t="s">
        <v>385</v>
      </c>
      <c r="G178" s="74" t="e">
        <f>#REF!*100/#REF!</f>
        <v>#REF!</v>
      </c>
      <c r="H178" s="1" t="s">
        <v>641</v>
      </c>
    </row>
    <row r="179" spans="1:7" s="7" customFormat="1" ht="24" customHeight="1">
      <c r="A179" s="88" t="s">
        <v>192</v>
      </c>
      <c r="B179" s="148" t="s">
        <v>563</v>
      </c>
      <c r="C179" s="90"/>
      <c r="D179" s="94"/>
      <c r="E179" s="108"/>
      <c r="F179" s="70"/>
      <c r="G179" s="74"/>
    </row>
    <row r="180" spans="1:8" ht="24" customHeight="1">
      <c r="A180" s="31" t="s">
        <v>193</v>
      </c>
      <c r="B180" s="33" t="s">
        <v>32</v>
      </c>
      <c r="C180" s="83">
        <v>20</v>
      </c>
      <c r="D180" s="78">
        <f>C180*239.64</f>
        <v>4792.799999999999</v>
      </c>
      <c r="E180" s="33" t="s">
        <v>386</v>
      </c>
      <c r="G180" s="74" t="e">
        <f>#REF!*100/#REF!</f>
        <v>#REF!</v>
      </c>
      <c r="H180" s="1" t="s">
        <v>642</v>
      </c>
    </row>
    <row r="181" spans="1:8" ht="24" customHeight="1">
      <c r="A181" s="31" t="s">
        <v>194</v>
      </c>
      <c r="B181" s="33" t="s">
        <v>32</v>
      </c>
      <c r="C181" s="83">
        <v>30</v>
      </c>
      <c r="D181" s="78">
        <f>C181*239.64</f>
        <v>7189.2</v>
      </c>
      <c r="E181" s="33" t="s">
        <v>387</v>
      </c>
      <c r="G181" s="74" t="e">
        <f>#REF!*100/#REF!</f>
        <v>#REF!</v>
      </c>
      <c r="H181" s="1" t="s">
        <v>643</v>
      </c>
    </row>
    <row r="182" spans="1:8" ht="24" customHeight="1">
      <c r="A182" s="31" t="s">
        <v>195</v>
      </c>
      <c r="B182" s="33" t="s">
        <v>32</v>
      </c>
      <c r="C182" s="83">
        <v>45</v>
      </c>
      <c r="D182" s="78">
        <f>C182*239.64</f>
        <v>10783.8</v>
      </c>
      <c r="E182" s="33" t="s">
        <v>151</v>
      </c>
      <c r="G182" s="74" t="e">
        <f>#REF!*100/#REF!</f>
        <v>#REF!</v>
      </c>
      <c r="H182" s="1" t="s">
        <v>644</v>
      </c>
    </row>
    <row r="183" spans="1:8" ht="24" customHeight="1">
      <c r="A183" s="31" t="s">
        <v>196</v>
      </c>
      <c r="B183" s="33" t="s">
        <v>32</v>
      </c>
      <c r="C183" s="83">
        <v>67.5</v>
      </c>
      <c r="D183" s="78">
        <f>C183*239.64</f>
        <v>16175.699999999999</v>
      </c>
      <c r="E183" s="33" t="s">
        <v>388</v>
      </c>
      <c r="G183" s="74" t="e">
        <f>#REF!*100/#REF!</f>
        <v>#REF!</v>
      </c>
      <c r="H183" s="1" t="s">
        <v>645</v>
      </c>
    </row>
    <row r="184" spans="1:7" s="7" customFormat="1" ht="24" customHeight="1">
      <c r="A184" s="88" t="s">
        <v>197</v>
      </c>
      <c r="B184" s="148" t="s">
        <v>489</v>
      </c>
      <c r="C184" s="90"/>
      <c r="D184" s="94"/>
      <c r="E184" s="108"/>
      <c r="F184" s="70"/>
      <c r="G184" s="74"/>
    </row>
    <row r="185" spans="1:8" ht="24" customHeight="1">
      <c r="A185" s="31" t="s">
        <v>198</v>
      </c>
      <c r="B185" s="33" t="s">
        <v>34</v>
      </c>
      <c r="C185" s="83">
        <v>25</v>
      </c>
      <c r="D185" s="78">
        <f>C185*239.64</f>
        <v>5991</v>
      </c>
      <c r="E185" s="33" t="s">
        <v>389</v>
      </c>
      <c r="G185" s="74" t="e">
        <f>#REF!*100/#REF!</f>
        <v>#REF!</v>
      </c>
      <c r="H185" s="1" t="s">
        <v>646</v>
      </c>
    </row>
    <row r="186" spans="1:8" ht="24" customHeight="1">
      <c r="A186" s="31" t="s">
        <v>199</v>
      </c>
      <c r="B186" s="33" t="s">
        <v>34</v>
      </c>
      <c r="C186" s="83">
        <v>37.5</v>
      </c>
      <c r="D186" s="78">
        <f>C186*239.64</f>
        <v>8986.5</v>
      </c>
      <c r="E186" s="33" t="s">
        <v>390</v>
      </c>
      <c r="G186" s="74" t="e">
        <f>#REF!*100/#REF!</f>
        <v>#REF!</v>
      </c>
      <c r="H186" s="1" t="s">
        <v>647</v>
      </c>
    </row>
    <row r="187" spans="1:8" ht="24" customHeight="1">
      <c r="A187" s="31" t="s">
        <v>200</v>
      </c>
      <c r="B187" s="33" t="s">
        <v>34</v>
      </c>
      <c r="C187" s="83">
        <v>56.25</v>
      </c>
      <c r="D187" s="78">
        <f>C187*239.64</f>
        <v>13479.75</v>
      </c>
      <c r="E187" s="33" t="s">
        <v>391</v>
      </c>
      <c r="G187" s="74" t="e">
        <f>#REF!*100/#REF!</f>
        <v>#REF!</v>
      </c>
      <c r="H187" s="1" t="s">
        <v>648</v>
      </c>
    </row>
    <row r="188" spans="1:8" ht="24" customHeight="1">
      <c r="A188" s="31" t="s">
        <v>201</v>
      </c>
      <c r="B188" s="33" t="s">
        <v>34</v>
      </c>
      <c r="C188" s="83">
        <v>84</v>
      </c>
      <c r="D188" s="78">
        <f>C188*239.64</f>
        <v>20129.76</v>
      </c>
      <c r="E188" s="33" t="s">
        <v>392</v>
      </c>
      <c r="G188" s="74" t="e">
        <f>#REF!*100/#REF!</f>
        <v>#REF!</v>
      </c>
      <c r="H188" s="1" t="s">
        <v>649</v>
      </c>
    </row>
    <row r="189" spans="1:7" s="7" customFormat="1" ht="24" customHeight="1">
      <c r="A189" s="88" t="s">
        <v>202</v>
      </c>
      <c r="B189" s="148" t="s">
        <v>705</v>
      </c>
      <c r="C189" s="90"/>
      <c r="D189" s="94"/>
      <c r="E189" s="108"/>
      <c r="F189" s="70"/>
      <c r="G189" s="74"/>
    </row>
    <row r="190" spans="1:7" ht="24" customHeight="1">
      <c r="A190" s="31" t="s">
        <v>203</v>
      </c>
      <c r="B190" s="33" t="s">
        <v>16</v>
      </c>
      <c r="C190" s="83">
        <v>50</v>
      </c>
      <c r="D190" s="78">
        <f>C190*239.64</f>
        <v>11982</v>
      </c>
      <c r="E190" s="33" t="s">
        <v>550</v>
      </c>
      <c r="G190" s="74" t="e">
        <f>#REF!*100/#REF!</f>
        <v>#REF!</v>
      </c>
    </row>
    <row r="191" spans="1:7" s="7" customFormat="1" ht="24" customHeight="1">
      <c r="A191" s="88" t="s">
        <v>204</v>
      </c>
      <c r="B191" s="148" t="s">
        <v>704</v>
      </c>
      <c r="C191" s="90"/>
      <c r="D191" s="94"/>
      <c r="E191" s="108"/>
      <c r="F191" s="70"/>
      <c r="G191" s="74"/>
    </row>
    <row r="192" spans="1:7" ht="24" customHeight="1">
      <c r="A192" s="31" t="s">
        <v>205</v>
      </c>
      <c r="B192" s="33" t="s">
        <v>32</v>
      </c>
      <c r="C192" s="83">
        <v>20</v>
      </c>
      <c r="D192" s="78">
        <f>C192*239.64</f>
        <v>4792.799999999999</v>
      </c>
      <c r="E192" s="33" t="s">
        <v>551</v>
      </c>
      <c r="G192" s="74" t="e">
        <f>#REF!*100/#REF!</f>
        <v>#REF!</v>
      </c>
    </row>
    <row r="193" spans="1:7" s="5" customFormat="1" ht="24" customHeight="1" hidden="1">
      <c r="A193" s="65"/>
      <c r="B193" s="120"/>
      <c r="C193" s="81"/>
      <c r="D193" s="80"/>
      <c r="E193" s="114"/>
      <c r="F193" s="72"/>
      <c r="G193" s="75"/>
    </row>
    <row r="194" spans="1:7" s="2" customFormat="1" ht="24" customHeight="1" hidden="1">
      <c r="A194" s="49"/>
      <c r="B194" s="115"/>
      <c r="C194" s="81"/>
      <c r="D194" s="79"/>
      <c r="E194" s="115"/>
      <c r="F194" s="73"/>
      <c r="G194" s="75"/>
    </row>
    <row r="195" ht="24" customHeight="1" hidden="1"/>
    <row r="196" ht="24" customHeight="1" hidden="1"/>
    <row r="197" ht="24" customHeight="1" hidden="1"/>
    <row r="198" ht="24" customHeight="1" hidden="1"/>
    <row r="199" ht="24" customHeight="1" hidden="1"/>
    <row r="200" ht="24" customHeight="1" hidden="1"/>
    <row r="201" ht="24" customHeight="1" hidden="1"/>
    <row r="202" ht="24" customHeight="1" hidden="1"/>
    <row r="203" ht="24" customHeight="1" hidden="1"/>
    <row r="204" ht="24" customHeight="1" hidden="1"/>
    <row r="205" spans="1:5" ht="24" customHeight="1">
      <c r="A205" s="88" t="s">
        <v>548</v>
      </c>
      <c r="B205" s="148" t="s">
        <v>492</v>
      </c>
      <c r="C205" s="90"/>
      <c r="D205" s="94"/>
      <c r="E205" s="108"/>
    </row>
    <row r="206" spans="1:5" ht="24" customHeight="1">
      <c r="A206" s="31" t="s">
        <v>549</v>
      </c>
      <c r="B206" s="33" t="s">
        <v>16</v>
      </c>
      <c r="C206" s="83">
        <v>25</v>
      </c>
      <c r="D206" s="78">
        <f>C206*239.64</f>
        <v>5991</v>
      </c>
      <c r="E206" s="33" t="s">
        <v>393</v>
      </c>
    </row>
    <row r="207" spans="1:5" ht="24" customHeight="1">
      <c r="A207" s="88" t="s">
        <v>494</v>
      </c>
      <c r="B207" s="148" t="s">
        <v>703</v>
      </c>
      <c r="C207" s="90"/>
      <c r="D207" s="94"/>
      <c r="E207" s="108"/>
    </row>
    <row r="208" spans="1:5" ht="24" customHeight="1">
      <c r="A208" s="31" t="s">
        <v>495</v>
      </c>
      <c r="B208" s="33" t="s">
        <v>32</v>
      </c>
      <c r="C208" s="83">
        <v>12.5</v>
      </c>
      <c r="D208" s="78">
        <f>C208*239.64</f>
        <v>2995.5</v>
      </c>
      <c r="E208" s="33" t="s">
        <v>394</v>
      </c>
    </row>
    <row r="218" ht="24" customHeight="1">
      <c r="E218" s="68" t="s">
        <v>481</v>
      </c>
    </row>
    <row r="219" spans="1:7" s="19" customFormat="1" ht="24" customHeight="1">
      <c r="A219" s="121" t="s">
        <v>185</v>
      </c>
      <c r="B219" s="122" t="s">
        <v>186</v>
      </c>
      <c r="C219" s="124"/>
      <c r="D219" s="123"/>
      <c r="E219" s="125"/>
      <c r="F219" s="69"/>
      <c r="G219" s="74"/>
    </row>
    <row r="220" spans="1:7" s="11" customFormat="1" ht="24" customHeight="1">
      <c r="A220" s="40" t="s">
        <v>667</v>
      </c>
      <c r="B220" s="107" t="s">
        <v>772</v>
      </c>
      <c r="C220" s="82" t="s">
        <v>552</v>
      </c>
      <c r="D220" s="77" t="s">
        <v>458</v>
      </c>
      <c r="E220" s="18" t="s">
        <v>774</v>
      </c>
      <c r="G220" s="74"/>
    </row>
    <row r="221" spans="1:7" s="7" customFormat="1" ht="24" customHeight="1">
      <c r="A221" s="88" t="s">
        <v>494</v>
      </c>
      <c r="B221" s="148" t="s">
        <v>500</v>
      </c>
      <c r="C221" s="90"/>
      <c r="D221" s="94"/>
      <c r="E221" s="108"/>
      <c r="F221" s="70"/>
      <c r="G221" s="74"/>
    </row>
    <row r="222" spans="1:7" ht="24" customHeight="1">
      <c r="A222" s="31" t="s">
        <v>495</v>
      </c>
      <c r="B222" s="33" t="s">
        <v>16</v>
      </c>
      <c r="C222" s="83">
        <v>120</v>
      </c>
      <c r="D222" s="78">
        <f>C222*239.64</f>
        <v>28756.8</v>
      </c>
      <c r="E222" s="33" t="s">
        <v>395</v>
      </c>
      <c r="G222" s="74" t="e">
        <f>#REF!*100/#REF!</f>
        <v>#REF!</v>
      </c>
    </row>
    <row r="223" spans="1:8" ht="24" customHeight="1">
      <c r="A223" s="31" t="s">
        <v>496</v>
      </c>
      <c r="B223" s="33" t="s">
        <v>17</v>
      </c>
      <c r="C223" s="83">
        <v>180</v>
      </c>
      <c r="D223" s="78">
        <f>C223*239.64</f>
        <v>43135.2</v>
      </c>
      <c r="E223" s="33" t="s">
        <v>396</v>
      </c>
      <c r="G223" s="74" t="e">
        <f>#REF!*100/#REF!</f>
        <v>#REF!</v>
      </c>
      <c r="H223" s="1" t="s">
        <v>282</v>
      </c>
    </row>
    <row r="224" spans="1:7" s="7" customFormat="1" ht="24" customHeight="1">
      <c r="A224" s="88" t="s">
        <v>501</v>
      </c>
      <c r="B224" s="148" t="s">
        <v>499</v>
      </c>
      <c r="C224" s="90"/>
      <c r="D224" s="94"/>
      <c r="E224" s="108"/>
      <c r="F224" s="70"/>
      <c r="G224" s="74"/>
    </row>
    <row r="225" spans="1:8" ht="24" customHeight="1">
      <c r="A225" s="31" t="s">
        <v>502</v>
      </c>
      <c r="B225" s="33" t="s">
        <v>32</v>
      </c>
      <c r="C225" s="83">
        <v>60</v>
      </c>
      <c r="D225" s="78">
        <f>C225*239.64</f>
        <v>14378.4</v>
      </c>
      <c r="E225" s="33" t="s">
        <v>397</v>
      </c>
      <c r="G225" s="74" t="e">
        <f>#REF!*100/#REF!</f>
        <v>#REF!</v>
      </c>
      <c r="H225" s="1" t="s">
        <v>283</v>
      </c>
    </row>
    <row r="226" spans="1:8" ht="24" customHeight="1">
      <c r="A226" s="31" t="s">
        <v>503</v>
      </c>
      <c r="B226" s="33" t="s">
        <v>32</v>
      </c>
      <c r="C226" s="83">
        <v>90</v>
      </c>
      <c r="D226" s="78">
        <f>C226*239.64</f>
        <v>21567.6</v>
      </c>
      <c r="E226" s="33" t="s">
        <v>398</v>
      </c>
      <c r="G226" s="74" t="e">
        <f>#REF!*100/#REF!</f>
        <v>#REF!</v>
      </c>
      <c r="H226" s="1" t="s">
        <v>284</v>
      </c>
    </row>
    <row r="227" spans="1:7" s="7" customFormat="1" ht="24" customHeight="1">
      <c r="A227" s="88" t="s">
        <v>505</v>
      </c>
      <c r="B227" s="148" t="s">
        <v>504</v>
      </c>
      <c r="C227" s="90"/>
      <c r="D227" s="94"/>
      <c r="E227" s="108"/>
      <c r="F227" s="70"/>
      <c r="G227" s="74"/>
    </row>
    <row r="228" spans="1:7" ht="24" customHeight="1">
      <c r="A228" s="31" t="s">
        <v>506</v>
      </c>
      <c r="B228" s="33" t="s">
        <v>16</v>
      </c>
      <c r="C228" s="83">
        <v>100</v>
      </c>
      <c r="D228" s="78">
        <f>C228*239.64</f>
        <v>23964</v>
      </c>
      <c r="E228" s="33" t="s">
        <v>399</v>
      </c>
      <c r="G228" s="74" t="e">
        <f>#REF!*100/#REF!</f>
        <v>#REF!</v>
      </c>
    </row>
    <row r="229" spans="1:8" ht="24" customHeight="1">
      <c r="A229" s="31" t="s">
        <v>507</v>
      </c>
      <c r="B229" s="33" t="s">
        <v>17</v>
      </c>
      <c r="C229" s="83">
        <v>120</v>
      </c>
      <c r="D229" s="78">
        <f>C229*239.64</f>
        <v>28756.8</v>
      </c>
      <c r="E229" s="33" t="s">
        <v>400</v>
      </c>
      <c r="G229" s="74" t="e">
        <f>#REF!*100/#REF!</f>
        <v>#REF!</v>
      </c>
      <c r="H229" s="1" t="s">
        <v>285</v>
      </c>
    </row>
    <row r="230" spans="1:8" ht="24" customHeight="1">
      <c r="A230" s="31" t="s">
        <v>508</v>
      </c>
      <c r="B230" s="33" t="s">
        <v>17</v>
      </c>
      <c r="C230" s="83">
        <v>150</v>
      </c>
      <c r="D230" s="78">
        <f>C230*239.64</f>
        <v>35946</v>
      </c>
      <c r="E230" s="33" t="s">
        <v>401</v>
      </c>
      <c r="G230" s="74" t="e">
        <f>#REF!*100/#REF!</f>
        <v>#REF!</v>
      </c>
      <c r="H230" s="1" t="s">
        <v>286</v>
      </c>
    </row>
    <row r="231" spans="1:8" ht="24" customHeight="1">
      <c r="A231" s="31" t="s">
        <v>509</v>
      </c>
      <c r="B231" s="33" t="s">
        <v>17</v>
      </c>
      <c r="C231" s="83">
        <v>180</v>
      </c>
      <c r="D231" s="78">
        <f>C231*239.64</f>
        <v>43135.2</v>
      </c>
      <c r="E231" s="33" t="s">
        <v>402</v>
      </c>
      <c r="G231" s="74" t="e">
        <f>#REF!*100/#REF!</f>
        <v>#REF!</v>
      </c>
      <c r="H231" s="1" t="s">
        <v>287</v>
      </c>
    </row>
    <row r="232" spans="1:5" ht="24" customHeight="1">
      <c r="A232" s="88" t="s">
        <v>123</v>
      </c>
      <c r="B232" s="148" t="s">
        <v>706</v>
      </c>
      <c r="C232" s="90"/>
      <c r="D232" s="94"/>
      <c r="E232" s="108"/>
    </row>
    <row r="233" spans="1:7" ht="24" customHeight="1">
      <c r="A233" s="31" t="s">
        <v>124</v>
      </c>
      <c r="B233" s="33" t="s">
        <v>17</v>
      </c>
      <c r="C233" s="83">
        <v>60</v>
      </c>
      <c r="D233" s="78">
        <f>C233*239.64</f>
        <v>14378.4</v>
      </c>
      <c r="E233" s="33" t="s">
        <v>403</v>
      </c>
      <c r="G233" s="74" t="e">
        <f>#REF!*100/#REF!</f>
        <v>#REF!</v>
      </c>
    </row>
    <row r="234" spans="1:8" ht="24" customHeight="1">
      <c r="A234" s="31" t="s">
        <v>125</v>
      </c>
      <c r="B234" s="33" t="s">
        <v>17</v>
      </c>
      <c r="C234" s="83">
        <v>90</v>
      </c>
      <c r="D234" s="78">
        <f>C234*239.64</f>
        <v>21567.6</v>
      </c>
      <c r="E234" s="33" t="s">
        <v>404</v>
      </c>
      <c r="G234" s="74" t="e">
        <f>#REF!*100/#REF!</f>
        <v>#REF!</v>
      </c>
      <c r="H234" s="1" t="s">
        <v>288</v>
      </c>
    </row>
    <row r="235" spans="1:7" s="7" customFormat="1" ht="24" customHeight="1">
      <c r="A235" s="88" t="s">
        <v>520</v>
      </c>
      <c r="B235" s="148" t="s">
        <v>526</v>
      </c>
      <c r="C235" s="90"/>
      <c r="D235" s="94"/>
      <c r="E235" s="108"/>
      <c r="F235" s="70"/>
      <c r="G235" s="74"/>
    </row>
    <row r="236" spans="1:7" ht="24" customHeight="1">
      <c r="A236" s="31" t="s">
        <v>521</v>
      </c>
      <c r="B236" s="33" t="s">
        <v>32</v>
      </c>
      <c r="C236" s="83">
        <v>35</v>
      </c>
      <c r="D236" s="78">
        <f>C236*239.64</f>
        <v>8387.4</v>
      </c>
      <c r="E236" s="33" t="s">
        <v>405</v>
      </c>
      <c r="G236" s="74" t="e">
        <f>#REF!*100/#REF!</f>
        <v>#REF!</v>
      </c>
    </row>
    <row r="237" spans="1:8" ht="24" customHeight="1">
      <c r="A237" s="31" t="s">
        <v>522</v>
      </c>
      <c r="B237" s="33" t="s">
        <v>32</v>
      </c>
      <c r="C237" s="83">
        <v>42</v>
      </c>
      <c r="D237" s="78">
        <f>C237*239.64</f>
        <v>10064.88</v>
      </c>
      <c r="E237" s="33" t="s">
        <v>406</v>
      </c>
      <c r="G237" s="74" t="e">
        <f>#REF!*100/#REF!</f>
        <v>#REF!</v>
      </c>
      <c r="H237" s="1" t="s">
        <v>289</v>
      </c>
    </row>
    <row r="238" spans="1:8" ht="24" customHeight="1">
      <c r="A238" s="31" t="s">
        <v>523</v>
      </c>
      <c r="B238" s="33" t="s">
        <v>32</v>
      </c>
      <c r="C238" s="83">
        <v>52.5</v>
      </c>
      <c r="D238" s="78">
        <f>C238*239.64</f>
        <v>12581.099999999999</v>
      </c>
      <c r="E238" s="33" t="s">
        <v>407</v>
      </c>
      <c r="G238" s="74" t="e">
        <f>#REF!*100/#REF!</f>
        <v>#REF!</v>
      </c>
      <c r="H238" s="1" t="s">
        <v>290</v>
      </c>
    </row>
    <row r="239" spans="1:8" ht="24" customHeight="1">
      <c r="A239" s="31" t="s">
        <v>524</v>
      </c>
      <c r="B239" s="33" t="s">
        <v>32</v>
      </c>
      <c r="C239" s="83">
        <v>63</v>
      </c>
      <c r="D239" s="78">
        <f>C239*239.64</f>
        <v>15097.32</v>
      </c>
      <c r="E239" s="33" t="s">
        <v>408</v>
      </c>
      <c r="G239" s="74" t="e">
        <f>#REF!*100/#REF!</f>
        <v>#REF!</v>
      </c>
      <c r="H239" s="1" t="s">
        <v>291</v>
      </c>
    </row>
    <row r="240" spans="1:5" ht="24" customHeight="1">
      <c r="A240" s="88" t="s">
        <v>126</v>
      </c>
      <c r="B240" s="148" t="s">
        <v>707</v>
      </c>
      <c r="C240" s="90"/>
      <c r="D240" s="94"/>
      <c r="E240" s="108"/>
    </row>
    <row r="241" spans="1:7" ht="24" customHeight="1">
      <c r="A241" s="31" t="s">
        <v>127</v>
      </c>
      <c r="B241" s="33" t="s">
        <v>32</v>
      </c>
      <c r="C241" s="83">
        <v>25</v>
      </c>
      <c r="D241" s="78">
        <f>C241*239.64</f>
        <v>5991</v>
      </c>
      <c r="E241" s="33" t="s">
        <v>409</v>
      </c>
      <c r="G241" s="74" t="e">
        <f>#REF!*100/#REF!</f>
        <v>#REF!</v>
      </c>
    </row>
    <row r="242" spans="1:8" ht="24" customHeight="1">
      <c r="A242" s="31" t="s">
        <v>128</v>
      </c>
      <c r="B242" s="33" t="s">
        <v>32</v>
      </c>
      <c r="C242" s="83">
        <v>30</v>
      </c>
      <c r="D242" s="78">
        <f>C242*239.64</f>
        <v>7189.2</v>
      </c>
      <c r="E242" s="33" t="s">
        <v>410</v>
      </c>
      <c r="G242" s="74" t="e">
        <f>#REF!*100/#REF!</f>
        <v>#REF!</v>
      </c>
      <c r="H242" s="1" t="s">
        <v>292</v>
      </c>
    </row>
    <row r="243" spans="1:8" ht="24" customHeight="1">
      <c r="A243" s="31" t="s">
        <v>129</v>
      </c>
      <c r="B243" s="33" t="s">
        <v>32</v>
      </c>
      <c r="C243" s="83">
        <v>37.5</v>
      </c>
      <c r="D243" s="78">
        <f>C243*239.64</f>
        <v>8986.5</v>
      </c>
      <c r="E243" s="33" t="s">
        <v>411</v>
      </c>
      <c r="G243" s="74" t="e">
        <f>#REF!*100/#REF!</f>
        <v>#REF!</v>
      </c>
      <c r="H243" s="1" t="s">
        <v>625</v>
      </c>
    </row>
    <row r="244" spans="1:8" ht="24" customHeight="1">
      <c r="A244" s="31" t="s">
        <v>130</v>
      </c>
      <c r="B244" s="33" t="s">
        <v>32</v>
      </c>
      <c r="C244" s="83">
        <v>45</v>
      </c>
      <c r="D244" s="78">
        <f>C244*239.64</f>
        <v>10783.8</v>
      </c>
      <c r="E244" s="33" t="s">
        <v>412</v>
      </c>
      <c r="G244" s="74" t="e">
        <f>#REF!*100/#REF!</f>
        <v>#REF!</v>
      </c>
      <c r="H244" s="1" t="s">
        <v>293</v>
      </c>
    </row>
    <row r="245" spans="1:7" s="7" customFormat="1" ht="24" customHeight="1">
      <c r="A245" s="88" t="s">
        <v>527</v>
      </c>
      <c r="B245" s="148" t="s">
        <v>530</v>
      </c>
      <c r="C245" s="90"/>
      <c r="D245" s="94"/>
      <c r="E245" s="108"/>
      <c r="F245" s="70"/>
      <c r="G245" s="74"/>
    </row>
    <row r="246" spans="1:7" ht="24" customHeight="1">
      <c r="A246" s="31" t="s">
        <v>528</v>
      </c>
      <c r="B246" s="33" t="s">
        <v>17</v>
      </c>
      <c r="C246" s="83">
        <v>20</v>
      </c>
      <c r="D246" s="78">
        <f>C246*239.64</f>
        <v>4792.799999999999</v>
      </c>
      <c r="E246" s="33" t="s">
        <v>413</v>
      </c>
      <c r="G246" s="74" t="e">
        <f>#REF!*100/#REF!</f>
        <v>#REF!</v>
      </c>
    </row>
    <row r="247" spans="1:8" ht="24" customHeight="1">
      <c r="A247" s="31" t="s">
        <v>529</v>
      </c>
      <c r="B247" s="33" t="s">
        <v>17</v>
      </c>
      <c r="C247" s="83">
        <v>30</v>
      </c>
      <c r="D247" s="78">
        <f>C247*239.64</f>
        <v>7189.2</v>
      </c>
      <c r="E247" s="33" t="s">
        <v>414</v>
      </c>
      <c r="G247" s="74" t="e">
        <f>#REF!*100/#REF!</f>
        <v>#REF!</v>
      </c>
      <c r="H247" s="1" t="s">
        <v>294</v>
      </c>
    </row>
    <row r="248" spans="1:7" s="7" customFormat="1" ht="24" customHeight="1">
      <c r="A248" s="88" t="s">
        <v>533</v>
      </c>
      <c r="B248" s="148" t="s">
        <v>540</v>
      </c>
      <c r="C248" s="90"/>
      <c r="D248" s="94"/>
      <c r="E248" s="108"/>
      <c r="F248" s="70"/>
      <c r="G248" s="74"/>
    </row>
    <row r="249" spans="1:7" ht="24" customHeight="1">
      <c r="A249" s="31" t="s">
        <v>534</v>
      </c>
      <c r="B249" s="33" t="s">
        <v>32</v>
      </c>
      <c r="C249" s="83">
        <v>10</v>
      </c>
      <c r="D249" s="78">
        <f>C249*239.64</f>
        <v>2396.3999999999996</v>
      </c>
      <c r="E249" s="33" t="s">
        <v>415</v>
      </c>
      <c r="G249" s="74" t="e">
        <f>#REF!*100/#REF!</f>
        <v>#REF!</v>
      </c>
    </row>
    <row r="250" spans="1:8" ht="24" customHeight="1">
      <c r="A250" s="31" t="s">
        <v>535</v>
      </c>
      <c r="B250" s="33" t="s">
        <v>32</v>
      </c>
      <c r="C250" s="83">
        <v>15</v>
      </c>
      <c r="D250" s="78">
        <f>C250*239.64</f>
        <v>3594.6</v>
      </c>
      <c r="E250" s="33" t="s">
        <v>416</v>
      </c>
      <c r="G250" s="74" t="e">
        <f>#REF!*100/#REF!</f>
        <v>#REF!</v>
      </c>
      <c r="H250" s="1" t="s">
        <v>295</v>
      </c>
    </row>
    <row r="251" spans="1:5" ht="24" customHeight="1">
      <c r="A251" s="49"/>
      <c r="B251" s="95" t="s">
        <v>615</v>
      </c>
      <c r="D251" s="79"/>
      <c r="E251" s="115"/>
    </row>
    <row r="252" ht="15" customHeight="1">
      <c r="E252" s="117"/>
    </row>
    <row r="253" ht="24" customHeight="1">
      <c r="E253" s="68" t="s">
        <v>482</v>
      </c>
    </row>
    <row r="254" spans="1:5" ht="24" customHeight="1">
      <c r="A254" s="135" t="s">
        <v>296</v>
      </c>
      <c r="B254" s="147" t="s">
        <v>297</v>
      </c>
      <c r="C254" s="136"/>
      <c r="D254" s="137"/>
      <c r="E254" s="138"/>
    </row>
    <row r="255" spans="1:5" ht="24" customHeight="1">
      <c r="A255" s="40" t="s">
        <v>667</v>
      </c>
      <c r="B255" s="107" t="s">
        <v>772</v>
      </c>
      <c r="C255" s="82" t="s">
        <v>552</v>
      </c>
      <c r="D255" s="77" t="s">
        <v>458</v>
      </c>
      <c r="E255" s="18" t="s">
        <v>774</v>
      </c>
    </row>
    <row r="256" spans="1:5" ht="24" customHeight="1">
      <c r="A256" s="88" t="s">
        <v>298</v>
      </c>
      <c r="B256" s="148" t="s">
        <v>708</v>
      </c>
      <c r="C256" s="90"/>
      <c r="D256" s="89"/>
      <c r="E256" s="108"/>
    </row>
    <row r="257" spans="1:5" ht="24" customHeight="1">
      <c r="A257" s="31" t="s">
        <v>299</v>
      </c>
      <c r="B257" s="33" t="s">
        <v>16</v>
      </c>
      <c r="C257" s="83">
        <v>12</v>
      </c>
      <c r="D257" s="78">
        <f>C257*239.64</f>
        <v>2875.68</v>
      </c>
      <c r="E257" s="33" t="s">
        <v>313</v>
      </c>
    </row>
    <row r="258" spans="1:5" ht="24" customHeight="1">
      <c r="A258" s="31" t="s">
        <v>300</v>
      </c>
      <c r="B258" s="33" t="s">
        <v>16</v>
      </c>
      <c r="C258" s="83">
        <v>6</v>
      </c>
      <c r="D258" s="78">
        <f>C258*239.64</f>
        <v>1437.84</v>
      </c>
      <c r="E258" s="33" t="s">
        <v>315</v>
      </c>
    </row>
    <row r="259" spans="1:5" ht="24" customHeight="1">
      <c r="A259" s="31" t="s">
        <v>301</v>
      </c>
      <c r="B259" s="33" t="s">
        <v>16</v>
      </c>
      <c r="C259" s="83">
        <v>3</v>
      </c>
      <c r="D259" s="78">
        <f>C259*239.64</f>
        <v>718.92</v>
      </c>
      <c r="E259" s="33" t="s">
        <v>314</v>
      </c>
    </row>
    <row r="260" spans="1:5" ht="24" customHeight="1">
      <c r="A260" s="88" t="s">
        <v>302</v>
      </c>
      <c r="B260" s="148" t="s">
        <v>709</v>
      </c>
      <c r="C260" s="90"/>
      <c r="D260" s="89"/>
      <c r="E260" s="108"/>
    </row>
    <row r="261" spans="1:5" ht="24" customHeight="1">
      <c r="A261" s="31" t="s">
        <v>303</v>
      </c>
      <c r="B261" s="33" t="s">
        <v>32</v>
      </c>
      <c r="C261" s="83">
        <v>8</v>
      </c>
      <c r="D261" s="78">
        <f>C261*239.64</f>
        <v>1917.12</v>
      </c>
      <c r="E261" s="33" t="s">
        <v>306</v>
      </c>
    </row>
    <row r="262" spans="1:5" ht="24" customHeight="1">
      <c r="A262" s="31" t="s">
        <v>304</v>
      </c>
      <c r="B262" s="33" t="s">
        <v>32</v>
      </c>
      <c r="C262" s="83">
        <v>4</v>
      </c>
      <c r="D262" s="78">
        <f>C262*239.64</f>
        <v>958.56</v>
      </c>
      <c r="E262" s="33" t="s">
        <v>307</v>
      </c>
    </row>
    <row r="263" spans="1:5" ht="24" customHeight="1">
      <c r="A263" s="31" t="s">
        <v>305</v>
      </c>
      <c r="B263" s="33" t="s">
        <v>32</v>
      </c>
      <c r="C263" s="83">
        <v>2</v>
      </c>
      <c r="D263" s="78">
        <f>C263*239.64</f>
        <v>479.28</v>
      </c>
      <c r="E263" s="33" t="s">
        <v>308</v>
      </c>
    </row>
    <row r="264" spans="1:5" ht="24" customHeight="1">
      <c r="A264" s="91" t="s">
        <v>309</v>
      </c>
      <c r="B264" s="149" t="s">
        <v>710</v>
      </c>
      <c r="C264" s="90"/>
      <c r="D264" s="92"/>
      <c r="E264" s="109"/>
    </row>
    <row r="265" spans="1:5" ht="24" customHeight="1">
      <c r="A265" s="31" t="s">
        <v>310</v>
      </c>
      <c r="B265" s="33" t="s">
        <v>16</v>
      </c>
      <c r="C265" s="83">
        <v>2.9</v>
      </c>
      <c r="D265" s="78">
        <f>C265*239.64</f>
        <v>694.9559999999999</v>
      </c>
      <c r="E265" s="33" t="s">
        <v>312</v>
      </c>
    </row>
    <row r="266" spans="1:5" ht="24" customHeight="1">
      <c r="A266" s="31" t="s">
        <v>311</v>
      </c>
      <c r="B266" s="33" t="s">
        <v>16</v>
      </c>
      <c r="C266" s="83">
        <v>3.7</v>
      </c>
      <c r="D266" s="78">
        <f>C266*239.64</f>
        <v>886.668</v>
      </c>
      <c r="E266" s="33" t="s">
        <v>322</v>
      </c>
    </row>
    <row r="267" spans="1:5" ht="24" customHeight="1">
      <c r="A267" s="31">
        <v>50303</v>
      </c>
      <c r="B267" s="33" t="s">
        <v>16</v>
      </c>
      <c r="C267" s="83">
        <v>1.2</v>
      </c>
      <c r="D267" s="78">
        <f>C267*239.64</f>
        <v>287.568</v>
      </c>
      <c r="E267" s="33" t="s">
        <v>323</v>
      </c>
    </row>
    <row r="268" spans="1:5" ht="24" customHeight="1">
      <c r="A268" s="31">
        <v>5304</v>
      </c>
      <c r="B268" s="33" t="s">
        <v>16</v>
      </c>
      <c r="C268" s="83">
        <v>1.7</v>
      </c>
      <c r="D268" s="78">
        <f>C268*239.64</f>
        <v>407.388</v>
      </c>
      <c r="E268" s="33" t="s">
        <v>324</v>
      </c>
    </row>
    <row r="269" spans="1:5" ht="24" customHeight="1">
      <c r="A269" s="91" t="s">
        <v>325</v>
      </c>
      <c r="B269" s="149" t="s">
        <v>711</v>
      </c>
      <c r="C269" s="90"/>
      <c r="D269" s="92"/>
      <c r="E269" s="109"/>
    </row>
    <row r="270" spans="1:5" ht="24" customHeight="1">
      <c r="A270" s="31" t="s">
        <v>326</v>
      </c>
      <c r="B270" s="33" t="s">
        <v>32</v>
      </c>
      <c r="C270" s="83">
        <v>1.7</v>
      </c>
      <c r="D270" s="78">
        <f>C270*239.64</f>
        <v>407.388</v>
      </c>
      <c r="E270" s="33" t="s">
        <v>328</v>
      </c>
    </row>
    <row r="271" spans="1:5" ht="24" customHeight="1">
      <c r="A271" s="31" t="s">
        <v>327</v>
      </c>
      <c r="B271" s="33" t="s">
        <v>32</v>
      </c>
      <c r="C271" s="83">
        <v>2.1</v>
      </c>
      <c r="D271" s="78">
        <f>C271*239.64</f>
        <v>503.24399999999997</v>
      </c>
      <c r="E271" s="33" t="s">
        <v>329</v>
      </c>
    </row>
    <row r="272" spans="1:5" ht="24" customHeight="1">
      <c r="A272" s="91" t="s">
        <v>330</v>
      </c>
      <c r="B272" s="149" t="s">
        <v>712</v>
      </c>
      <c r="C272" s="90"/>
      <c r="D272" s="92"/>
      <c r="E272" s="109"/>
    </row>
    <row r="273" spans="1:5" ht="24" customHeight="1">
      <c r="A273" s="31" t="s">
        <v>331</v>
      </c>
      <c r="B273" s="33" t="s">
        <v>16</v>
      </c>
      <c r="C273" s="83">
        <v>25</v>
      </c>
      <c r="D273" s="78">
        <f>C273*239.64</f>
        <v>5991</v>
      </c>
      <c r="E273" s="33" t="s">
        <v>336</v>
      </c>
    </row>
    <row r="274" spans="1:5" ht="24" customHeight="1">
      <c r="A274" s="31" t="s">
        <v>332</v>
      </c>
      <c r="B274" s="33" t="s">
        <v>16</v>
      </c>
      <c r="C274" s="83">
        <v>38</v>
      </c>
      <c r="D274" s="78">
        <f>C274*239.64</f>
        <v>9106.32</v>
      </c>
      <c r="E274" s="33" t="s">
        <v>337</v>
      </c>
    </row>
    <row r="275" spans="1:5" ht="24" customHeight="1">
      <c r="A275" s="91" t="s">
        <v>333</v>
      </c>
      <c r="B275" s="149" t="s">
        <v>713</v>
      </c>
      <c r="C275" s="90"/>
      <c r="D275" s="92"/>
      <c r="E275" s="109"/>
    </row>
    <row r="276" spans="1:5" ht="24" customHeight="1">
      <c r="A276" s="31" t="s">
        <v>334</v>
      </c>
      <c r="B276" s="33" t="s">
        <v>32</v>
      </c>
      <c r="C276" s="83">
        <v>8.5</v>
      </c>
      <c r="D276" s="78">
        <f>C276*239.64</f>
        <v>2036.9399999999998</v>
      </c>
      <c r="E276" s="33" t="s">
        <v>338</v>
      </c>
    </row>
    <row r="277" spans="1:5" ht="24" customHeight="1">
      <c r="A277" s="31" t="s">
        <v>335</v>
      </c>
      <c r="B277" s="33" t="s">
        <v>32</v>
      </c>
      <c r="C277" s="83">
        <v>25</v>
      </c>
      <c r="D277" s="78">
        <f>C277*239.64</f>
        <v>5991</v>
      </c>
      <c r="E277" s="33" t="s">
        <v>339</v>
      </c>
    </row>
    <row r="278" spans="1:5" ht="24" customHeight="1">
      <c r="A278" s="39"/>
      <c r="B278" s="95" t="s">
        <v>615</v>
      </c>
      <c r="C278" s="97"/>
      <c r="D278" s="96"/>
      <c r="E278" s="111"/>
    </row>
    <row r="279" spans="1:5" ht="24" customHeight="1">
      <c r="A279" s="39"/>
      <c r="B279" s="119"/>
      <c r="D279" s="79"/>
      <c r="E279" s="110"/>
    </row>
    <row r="280" spans="1:5" ht="24" customHeight="1">
      <c r="A280" s="39"/>
      <c r="B280" s="119"/>
      <c r="D280" s="79"/>
      <c r="E280" s="110"/>
    </row>
    <row r="281" spans="1:5" ht="24" customHeight="1">
      <c r="A281" s="39"/>
      <c r="B281" s="119"/>
      <c r="D281" s="79"/>
      <c r="E281" s="110"/>
    </row>
    <row r="282" spans="1:5" ht="24" customHeight="1">
      <c r="A282" s="39"/>
      <c r="B282" s="119"/>
      <c r="D282" s="79"/>
      <c r="E282" s="110"/>
    </row>
    <row r="283" spans="1:5" ht="24" customHeight="1">
      <c r="A283" s="39"/>
      <c r="B283" s="119"/>
      <c r="D283" s="79"/>
      <c r="E283" s="110"/>
    </row>
    <row r="284" spans="1:5" ht="24" customHeight="1">
      <c r="A284" s="39"/>
      <c r="B284" s="119"/>
      <c r="D284" s="79"/>
      <c r="E284" s="110"/>
    </row>
    <row r="285" spans="1:5" ht="24" customHeight="1">
      <c r="A285" s="39"/>
      <c r="B285" s="119"/>
      <c r="D285" s="79"/>
      <c r="E285" s="110"/>
    </row>
    <row r="286" spans="1:5" ht="24" customHeight="1">
      <c r="A286" s="39"/>
      <c r="B286" s="119"/>
      <c r="D286" s="79"/>
      <c r="E286" s="110"/>
    </row>
    <row r="287" spans="1:5" ht="24" customHeight="1">
      <c r="A287" s="39"/>
      <c r="B287" s="119"/>
      <c r="D287" s="79"/>
      <c r="E287" s="110"/>
    </row>
    <row r="288" ht="24" customHeight="1">
      <c r="E288" s="68" t="s">
        <v>483</v>
      </c>
    </row>
    <row r="289" spans="1:5" ht="24" customHeight="1">
      <c r="A289" s="126" t="s">
        <v>661</v>
      </c>
      <c r="B289" s="127" t="s">
        <v>576</v>
      </c>
      <c r="C289" s="129"/>
      <c r="D289" s="128"/>
      <c r="E289" s="130"/>
    </row>
    <row r="290" spans="1:5" ht="24" customHeight="1">
      <c r="A290" s="40" t="s">
        <v>667</v>
      </c>
      <c r="B290" s="107" t="s">
        <v>772</v>
      </c>
      <c r="C290" s="82" t="s">
        <v>552</v>
      </c>
      <c r="D290" s="77" t="s">
        <v>458</v>
      </c>
      <c r="E290" s="18" t="s">
        <v>774</v>
      </c>
    </row>
    <row r="291" spans="1:5" ht="24" customHeight="1">
      <c r="A291" s="88" t="s">
        <v>663</v>
      </c>
      <c r="B291" s="148" t="s">
        <v>727</v>
      </c>
      <c r="C291" s="94"/>
      <c r="D291" s="94"/>
      <c r="E291" s="108"/>
    </row>
    <row r="292" spans="1:5" ht="24" customHeight="1">
      <c r="A292" s="150" t="s">
        <v>781</v>
      </c>
      <c r="B292" s="151"/>
      <c r="C292" s="151"/>
      <c r="D292" s="151"/>
      <c r="E292" s="152"/>
    </row>
    <row r="293" spans="1:5" ht="13.5" customHeight="1">
      <c r="A293" s="49"/>
      <c r="B293" s="115"/>
      <c r="C293" s="84"/>
      <c r="D293" s="79"/>
      <c r="E293" s="115"/>
    </row>
    <row r="294" spans="1:5" ht="13.5" customHeight="1">
      <c r="A294" s="49"/>
      <c r="B294" s="115"/>
      <c r="C294" s="84"/>
      <c r="D294" s="79"/>
      <c r="E294" s="115"/>
    </row>
    <row r="295" spans="1:5" ht="24" customHeight="1">
      <c r="A295" s="88" t="s">
        <v>728</v>
      </c>
      <c r="B295" s="148" t="s">
        <v>542</v>
      </c>
      <c r="C295" s="94"/>
      <c r="D295" s="94"/>
      <c r="E295" s="108"/>
    </row>
    <row r="296" spans="1:5" ht="24" customHeight="1">
      <c r="A296" s="150" t="s">
        <v>781</v>
      </c>
      <c r="B296" s="151"/>
      <c r="C296" s="151"/>
      <c r="D296" s="151"/>
      <c r="E296" s="152"/>
    </row>
    <row r="297" ht="13.5" customHeight="1"/>
    <row r="298" ht="13.5" customHeight="1">
      <c r="E298" s="68"/>
    </row>
    <row r="299" spans="1:5" ht="24" customHeight="1">
      <c r="A299" s="126" t="s">
        <v>740</v>
      </c>
      <c r="B299" s="127" t="s">
        <v>747</v>
      </c>
      <c r="C299" s="128"/>
      <c r="D299" s="128"/>
      <c r="E299" s="130"/>
    </row>
    <row r="300" spans="1:5" ht="24" customHeight="1">
      <c r="A300" s="40" t="s">
        <v>667</v>
      </c>
      <c r="B300" s="107" t="s">
        <v>772</v>
      </c>
      <c r="C300" s="82" t="s">
        <v>552</v>
      </c>
      <c r="D300" s="77" t="s">
        <v>458</v>
      </c>
      <c r="E300" s="18" t="s">
        <v>774</v>
      </c>
    </row>
    <row r="301" spans="1:5" ht="24" customHeight="1">
      <c r="A301" s="88" t="s">
        <v>741</v>
      </c>
      <c r="B301" s="148" t="s">
        <v>745</v>
      </c>
      <c r="C301" s="94"/>
      <c r="D301" s="94"/>
      <c r="E301" s="108"/>
    </row>
    <row r="302" spans="1:5" ht="24" customHeight="1">
      <c r="A302" s="31" t="s">
        <v>742</v>
      </c>
      <c r="B302" s="33" t="s">
        <v>16</v>
      </c>
      <c r="C302" s="83">
        <v>7</v>
      </c>
      <c r="D302" s="78">
        <f>C302*239.64</f>
        <v>1677.48</v>
      </c>
      <c r="E302" s="33" t="s">
        <v>155</v>
      </c>
    </row>
    <row r="303" spans="1:5" ht="24" customHeight="1">
      <c r="A303" s="88" t="s">
        <v>743</v>
      </c>
      <c r="B303" s="148" t="s">
        <v>746</v>
      </c>
      <c r="C303" s="134"/>
      <c r="D303" s="94"/>
      <c r="E303" s="108"/>
    </row>
    <row r="304" spans="1:5" ht="24" customHeight="1">
      <c r="A304" s="31" t="s">
        <v>744</v>
      </c>
      <c r="B304" s="33" t="s">
        <v>16</v>
      </c>
      <c r="C304" s="83">
        <v>5</v>
      </c>
      <c r="D304" s="78">
        <f>C304*239.64</f>
        <v>1198.1999999999998</v>
      </c>
      <c r="E304" s="33" t="s">
        <v>156</v>
      </c>
    </row>
    <row r="305" ht="13.5" customHeight="1"/>
    <row r="306" spans="1:5" ht="13.5" customHeight="1">
      <c r="A306" s="39"/>
      <c r="B306" s="145" t="s">
        <v>750</v>
      </c>
      <c r="C306" s="131"/>
      <c r="D306" s="96"/>
      <c r="E306" s="111"/>
    </row>
    <row r="307" spans="1:12" ht="13.5" customHeight="1">
      <c r="A307" s="133" t="s">
        <v>748</v>
      </c>
      <c r="B307" s="139" t="s">
        <v>237</v>
      </c>
      <c r="C307" s="140"/>
      <c r="D307" s="141"/>
      <c r="E307" s="139"/>
      <c r="L307" s="146"/>
    </row>
    <row r="308" spans="1:5" ht="13.5" customHeight="1">
      <c r="A308" s="133" t="s">
        <v>749</v>
      </c>
      <c r="B308" s="139" t="s">
        <v>543</v>
      </c>
      <c r="C308" s="140"/>
      <c r="D308" s="141"/>
      <c r="E308" s="139"/>
    </row>
    <row r="309" spans="1:5" ht="13.5" customHeight="1">
      <c r="A309" s="133" t="s">
        <v>120</v>
      </c>
      <c r="B309" s="139" t="s">
        <v>488</v>
      </c>
      <c r="C309" s="140"/>
      <c r="D309" s="141"/>
      <c r="E309" s="139"/>
    </row>
    <row r="310" spans="1:5" ht="13.5" customHeight="1">
      <c r="A310" s="133" t="s">
        <v>153</v>
      </c>
      <c r="B310" s="139" t="s">
        <v>154</v>
      </c>
      <c r="C310" s="143"/>
      <c r="D310" s="144"/>
      <c r="E310" s="142"/>
    </row>
    <row r="311" spans="1:5" ht="13.5" customHeight="1">
      <c r="A311" s="39"/>
      <c r="B311" s="119"/>
      <c r="C311" s="84"/>
      <c r="D311" s="79"/>
      <c r="E311" s="110"/>
    </row>
    <row r="312" spans="1:5" ht="13.5" customHeight="1">
      <c r="A312" s="52"/>
      <c r="E312" s="117"/>
    </row>
    <row r="313" spans="1:5" ht="13.5" customHeight="1">
      <c r="A313" s="57"/>
      <c r="E313" s="117"/>
    </row>
    <row r="314" spans="1:5" ht="13.5" customHeight="1">
      <c r="A314" s="57"/>
      <c r="E314" s="117"/>
    </row>
    <row r="315" ht="13.5" customHeight="1">
      <c r="E315" s="117"/>
    </row>
    <row r="316" ht="13.5" customHeight="1"/>
    <row r="317" ht="13.5" customHeight="1">
      <c r="E317" s="132"/>
    </row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</sheetData>
  <mergeCells count="2">
    <mergeCell ref="A292:E292"/>
    <mergeCell ref="A296:E296"/>
  </mergeCells>
  <printOptions horizontalCentered="1" verticalCentered="1"/>
  <pageMargins left="0.2362204724409449" right="0.2362204724409449" top="0.1968503937007874" bottom="0.1968503937007874" header="0.03937007874015748" footer="0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9"/>
  <sheetViews>
    <sheetView workbookViewId="0" topLeftCell="A1">
      <selection activeCell="D7" sqref="D7"/>
    </sheetView>
  </sheetViews>
  <sheetFormatPr defaultColWidth="9.00390625" defaultRowHeight="24" customHeight="1"/>
  <cols>
    <col min="1" max="1" width="4.625" style="37" customWidth="1"/>
    <col min="2" max="2" width="7.625" style="1" customWidth="1"/>
    <col min="3" max="3" width="10.625" style="1" customWidth="1"/>
    <col min="4" max="4" width="8.625" style="14" customWidth="1"/>
    <col min="5" max="5" width="60.625" style="17" customWidth="1"/>
    <col min="6" max="6" width="10.625" style="14" customWidth="1"/>
    <col min="7" max="8" width="9.125" style="41" customWidth="1"/>
    <col min="9" max="16384" width="9.125" style="1" customWidth="1"/>
  </cols>
  <sheetData>
    <row r="1" ht="24" customHeight="1">
      <c r="E1" s="54" t="s">
        <v>215</v>
      </c>
    </row>
    <row r="2" spans="1:8" ht="24" customHeight="1">
      <c r="A2" s="34" t="s">
        <v>516</v>
      </c>
      <c r="B2" s="22"/>
      <c r="C2" s="2"/>
      <c r="D2" s="12"/>
      <c r="E2" s="21"/>
      <c r="F2" s="12"/>
      <c r="G2" s="41">
        <v>1</v>
      </c>
      <c r="H2" s="41">
        <v>1</v>
      </c>
    </row>
    <row r="3" spans="1:8" s="19" customFormat="1" ht="24" customHeight="1">
      <c r="A3" s="36" t="s">
        <v>784</v>
      </c>
      <c r="B3" s="23" t="s">
        <v>775</v>
      </c>
      <c r="C3" s="24"/>
      <c r="D3" s="25"/>
      <c r="E3" s="26"/>
      <c r="F3" s="29"/>
      <c r="G3" s="41">
        <v>2</v>
      </c>
      <c r="H3" s="41">
        <v>2</v>
      </c>
    </row>
    <row r="4" spans="1:8" s="11" customFormat="1" ht="24" customHeight="1">
      <c r="A4" s="40" t="s">
        <v>776</v>
      </c>
      <c r="B4" s="18" t="s">
        <v>783</v>
      </c>
      <c r="C4" s="18" t="s">
        <v>772</v>
      </c>
      <c r="D4" s="20" t="s">
        <v>773</v>
      </c>
      <c r="E4" s="18" t="s">
        <v>774</v>
      </c>
      <c r="F4" s="30" t="s">
        <v>1</v>
      </c>
      <c r="G4" s="41">
        <v>3</v>
      </c>
      <c r="H4" s="41">
        <v>3</v>
      </c>
    </row>
    <row r="5" spans="1:8" s="7" customFormat="1" ht="24" customHeight="1">
      <c r="A5" s="35" t="s">
        <v>785</v>
      </c>
      <c r="B5" s="8" t="s">
        <v>777</v>
      </c>
      <c r="C5" s="9"/>
      <c r="D5" s="10"/>
      <c r="E5" s="15"/>
      <c r="F5" s="28">
        <v>775</v>
      </c>
      <c r="G5" s="7">
        <v>4</v>
      </c>
      <c r="H5" s="7">
        <v>4</v>
      </c>
    </row>
    <row r="6" spans="1:8" ht="33.75" customHeight="1">
      <c r="A6" s="31" t="s">
        <v>786</v>
      </c>
      <c r="B6" s="3"/>
      <c r="C6" s="32" t="s">
        <v>778</v>
      </c>
      <c r="D6" s="13">
        <f>F5*1</f>
        <v>775</v>
      </c>
      <c r="E6" s="32" t="s">
        <v>231</v>
      </c>
      <c r="F6" s="13">
        <v>660</v>
      </c>
      <c r="G6" s="41">
        <v>5</v>
      </c>
      <c r="H6" s="41">
        <v>5</v>
      </c>
    </row>
    <row r="7" spans="1:8" ht="24" customHeight="1">
      <c r="A7" s="31" t="s">
        <v>787</v>
      </c>
      <c r="B7" s="3"/>
      <c r="C7" s="32" t="s">
        <v>779</v>
      </c>
      <c r="D7" s="13">
        <f>D6*1.466666</f>
        <v>1136.66615</v>
      </c>
      <c r="E7" s="33" t="s">
        <v>435</v>
      </c>
      <c r="F7" s="13">
        <f>SUM(F6*1.5)</f>
        <v>990</v>
      </c>
      <c r="G7" s="41">
        <f>D7/D6</f>
        <v>1.466666</v>
      </c>
      <c r="H7" s="41">
        <v>6</v>
      </c>
    </row>
    <row r="8" spans="1:8" ht="24" customHeight="1">
      <c r="A8" s="31" t="s">
        <v>788</v>
      </c>
      <c r="B8" s="3"/>
      <c r="C8" s="32" t="s">
        <v>780</v>
      </c>
      <c r="D8" s="13">
        <f>D6*1.466666*2</f>
        <v>2273.3323</v>
      </c>
      <c r="E8" s="33" t="s">
        <v>467</v>
      </c>
      <c r="F8" s="13">
        <f>SUM(F6*3)</f>
        <v>1980</v>
      </c>
      <c r="G8" s="41">
        <f>D8/D6</f>
        <v>2.933332</v>
      </c>
      <c r="H8" s="41">
        <v>7</v>
      </c>
    </row>
    <row r="9" spans="1:8" s="7" customFormat="1" ht="24" customHeight="1">
      <c r="A9" s="38" t="s">
        <v>789</v>
      </c>
      <c r="B9" s="4" t="s">
        <v>782</v>
      </c>
      <c r="C9" s="5"/>
      <c r="D9" s="6"/>
      <c r="E9" s="16"/>
      <c r="F9" s="6"/>
      <c r="G9" s="7">
        <v>8</v>
      </c>
      <c r="H9" s="7">
        <v>8</v>
      </c>
    </row>
    <row r="10" spans="1:8" ht="33.75" customHeight="1">
      <c r="A10" s="31" t="s">
        <v>790</v>
      </c>
      <c r="B10" s="3"/>
      <c r="C10" s="32" t="s">
        <v>778</v>
      </c>
      <c r="D10" s="13">
        <f>SUM(D6*12*0.6)</f>
        <v>5580</v>
      </c>
      <c r="E10" s="32" t="s">
        <v>232</v>
      </c>
      <c r="F10" s="13">
        <f>SUM(F6*12*0.6)</f>
        <v>4752</v>
      </c>
      <c r="G10" s="41">
        <f>D10/D6</f>
        <v>7.2</v>
      </c>
      <c r="H10" s="41">
        <v>9</v>
      </c>
    </row>
    <row r="11" spans="1:8" ht="24" customHeight="1">
      <c r="A11" s="31" t="s">
        <v>791</v>
      </c>
      <c r="B11" s="3"/>
      <c r="C11" s="32" t="s">
        <v>779</v>
      </c>
      <c r="D11" s="13">
        <f>SUM(D6*1.5*12*0.6)</f>
        <v>8370</v>
      </c>
      <c r="E11" s="33" t="s">
        <v>544</v>
      </c>
      <c r="F11" s="13">
        <f>SUM(F6*1.5*12*0.6)</f>
        <v>7128</v>
      </c>
      <c r="G11" s="41">
        <f>D11/D6</f>
        <v>10.8</v>
      </c>
      <c r="H11" s="41">
        <v>10</v>
      </c>
    </row>
    <row r="12" spans="1:8" ht="24" customHeight="1">
      <c r="A12" s="31" t="s">
        <v>792</v>
      </c>
      <c r="B12" s="3"/>
      <c r="C12" s="3" t="s">
        <v>780</v>
      </c>
      <c r="D12" s="13">
        <f>SUM(D6*3*12*0.60000018)</f>
        <v>16740.005022</v>
      </c>
      <c r="E12" s="33" t="s">
        <v>438</v>
      </c>
      <c r="F12" s="13">
        <f>SUM(F6*3*12*0.6)</f>
        <v>14256</v>
      </c>
      <c r="G12" s="41">
        <f>D12/D6</f>
        <v>21.60000648</v>
      </c>
      <c r="H12" s="41">
        <v>11</v>
      </c>
    </row>
    <row r="13" spans="1:8" s="7" customFormat="1" ht="24" customHeight="1">
      <c r="A13" s="38" t="s">
        <v>793</v>
      </c>
      <c r="B13" s="4" t="s">
        <v>797</v>
      </c>
      <c r="C13" s="5"/>
      <c r="D13" s="6"/>
      <c r="E13" s="16"/>
      <c r="F13" s="6"/>
      <c r="G13" s="7">
        <v>12</v>
      </c>
      <c r="H13" s="7">
        <v>12</v>
      </c>
    </row>
    <row r="14" spans="1:8" ht="33.75" customHeight="1">
      <c r="A14" s="31" t="s">
        <v>794</v>
      </c>
      <c r="B14" s="3"/>
      <c r="C14" s="32" t="s">
        <v>778</v>
      </c>
      <c r="D14" s="13">
        <f>SUM(D6*30*0.4000001)</f>
        <v>9300.002325000001</v>
      </c>
      <c r="E14" s="32" t="s">
        <v>234</v>
      </c>
      <c r="F14" s="13">
        <f>SUM(F6*30*0.4)</f>
        <v>7920</v>
      </c>
      <c r="G14" s="41">
        <v>13</v>
      </c>
      <c r="H14" s="41">
        <v>13</v>
      </c>
    </row>
    <row r="15" spans="1:8" ht="24" customHeight="1">
      <c r="A15" s="31" t="s">
        <v>795</v>
      </c>
      <c r="B15" s="3"/>
      <c r="C15" s="32" t="s">
        <v>779</v>
      </c>
      <c r="D15" s="13">
        <f>SUM(D6*1.5*30*0.4000001)</f>
        <v>13950.0034875</v>
      </c>
      <c r="E15" s="33" t="s">
        <v>437</v>
      </c>
      <c r="F15" s="13">
        <f>SUM(F6*1.5*30*0.4)</f>
        <v>11880</v>
      </c>
      <c r="G15" s="41">
        <v>14</v>
      </c>
      <c r="H15" s="41">
        <v>14</v>
      </c>
    </row>
    <row r="16" spans="1:8" ht="24" customHeight="1">
      <c r="A16" s="31" t="s">
        <v>796</v>
      </c>
      <c r="B16" s="3"/>
      <c r="C16" s="32" t="s">
        <v>780</v>
      </c>
      <c r="D16" s="13">
        <f>SUM(D6*3*30*0.40000015)</f>
        <v>27900.0104625</v>
      </c>
      <c r="E16" s="33" t="s">
        <v>439</v>
      </c>
      <c r="F16" s="13">
        <f>SUM(F6*3*30*0.4)</f>
        <v>23760</v>
      </c>
      <c r="G16" s="41">
        <v>15</v>
      </c>
      <c r="H16" s="41">
        <v>15</v>
      </c>
    </row>
    <row r="17" spans="1:8" s="7" customFormat="1" ht="24" customHeight="1">
      <c r="A17" s="38" t="s">
        <v>798</v>
      </c>
      <c r="B17" s="4" t="s">
        <v>802</v>
      </c>
      <c r="C17" s="5"/>
      <c r="D17" s="6"/>
      <c r="E17" s="16"/>
      <c r="F17" s="6"/>
      <c r="G17" s="7">
        <v>16</v>
      </c>
      <c r="H17" s="7">
        <v>16</v>
      </c>
    </row>
    <row r="18" spans="1:8" ht="39.75" customHeight="1">
      <c r="A18" s="31" t="s">
        <v>799</v>
      </c>
      <c r="B18" s="3"/>
      <c r="C18" s="32" t="s">
        <v>778</v>
      </c>
      <c r="D18" s="13">
        <f>SUM(D6*365*0.1972604)</f>
        <v>55800.03565</v>
      </c>
      <c r="E18" s="32" t="s">
        <v>235</v>
      </c>
      <c r="F18" s="13">
        <f>SUM(F6*365*0.2)</f>
        <v>48180</v>
      </c>
      <c r="G18" s="41">
        <v>17</v>
      </c>
      <c r="H18" s="41">
        <v>17</v>
      </c>
    </row>
    <row r="19" spans="1:8" ht="24" customHeight="1">
      <c r="A19" s="31" t="s">
        <v>800</v>
      </c>
      <c r="B19" s="3"/>
      <c r="C19" s="32" t="s">
        <v>779</v>
      </c>
      <c r="D19" s="13">
        <f>SUM(D6*1.5*365*0.1996957)</f>
        <v>84733.38170625</v>
      </c>
      <c r="E19" s="33" t="s">
        <v>441</v>
      </c>
      <c r="F19" s="13">
        <f>SUM(F6*1.5*365*0.2)</f>
        <v>72270</v>
      </c>
      <c r="G19" s="41">
        <v>18</v>
      </c>
      <c r="H19" s="41">
        <v>18</v>
      </c>
    </row>
    <row r="20" spans="1:8" ht="24" customHeight="1">
      <c r="A20" s="31" t="s">
        <v>801</v>
      </c>
      <c r="B20" s="3"/>
      <c r="C20" s="32" t="s">
        <v>780</v>
      </c>
      <c r="D20" s="13">
        <f>SUM(D19*2)</f>
        <v>169466.7634125</v>
      </c>
      <c r="E20" s="33" t="s">
        <v>236</v>
      </c>
      <c r="F20" s="13">
        <f>SUM(F6*3*365*0.2)</f>
        <v>144540</v>
      </c>
      <c r="G20" s="41">
        <v>19</v>
      </c>
      <c r="H20" s="41">
        <v>19</v>
      </c>
    </row>
    <row r="21" spans="1:8" s="7" customFormat="1" ht="24" customHeight="1">
      <c r="A21" s="38" t="s">
        <v>803</v>
      </c>
      <c r="B21" s="4" t="s">
        <v>2</v>
      </c>
      <c r="C21" s="5"/>
      <c r="D21" s="6"/>
      <c r="E21" s="16"/>
      <c r="F21" s="6"/>
      <c r="G21" s="7">
        <v>20</v>
      </c>
      <c r="H21" s="7">
        <v>20</v>
      </c>
    </row>
    <row r="22" spans="1:8" ht="24" customHeight="1">
      <c r="A22" s="31" t="s">
        <v>804</v>
      </c>
      <c r="B22" s="3"/>
      <c r="C22" s="32" t="s">
        <v>807</v>
      </c>
      <c r="D22" s="13">
        <f>SUM(D6*0.74667)</f>
        <v>578.6692499999999</v>
      </c>
      <c r="E22" s="32" t="s">
        <v>443</v>
      </c>
      <c r="F22" s="13">
        <f>SUM(F6*0.75)</f>
        <v>495</v>
      </c>
      <c r="G22" s="41">
        <v>21</v>
      </c>
      <c r="H22" s="41">
        <v>21</v>
      </c>
    </row>
    <row r="23" spans="1:8" ht="24" customHeight="1">
      <c r="A23" s="31" t="s">
        <v>805</v>
      </c>
      <c r="B23" s="3"/>
      <c r="C23" s="32" t="s">
        <v>808</v>
      </c>
      <c r="D23" s="13">
        <f>SUM(D6*0.7)</f>
        <v>542.5</v>
      </c>
      <c r="E23" s="32" t="s">
        <v>4</v>
      </c>
      <c r="F23" s="13">
        <f>SUM(F6*0.7)</f>
        <v>461.99999999999994</v>
      </c>
      <c r="G23" s="41">
        <v>22</v>
      </c>
      <c r="H23" s="41">
        <v>22</v>
      </c>
    </row>
    <row r="24" spans="1:8" ht="24" customHeight="1">
      <c r="A24" s="31" t="s">
        <v>806</v>
      </c>
      <c r="B24" s="3"/>
      <c r="C24" s="32" t="s">
        <v>541</v>
      </c>
      <c r="D24" s="13">
        <f>SUM(D6*0.64)</f>
        <v>496</v>
      </c>
      <c r="E24" s="33" t="s">
        <v>444</v>
      </c>
      <c r="F24" s="13">
        <f>SUM(F6*0.65)</f>
        <v>429</v>
      </c>
      <c r="G24" s="41">
        <v>23</v>
      </c>
      <c r="H24" s="41">
        <v>23</v>
      </c>
    </row>
    <row r="25" spans="1:8" ht="24" customHeight="1">
      <c r="A25" s="39"/>
      <c r="B25" s="2"/>
      <c r="C25" s="2"/>
      <c r="D25" s="12"/>
      <c r="E25" s="21"/>
      <c r="F25" s="12"/>
      <c r="G25" s="41">
        <v>24</v>
      </c>
      <c r="H25" s="41">
        <v>24</v>
      </c>
    </row>
    <row r="26" spans="1:8" ht="24" customHeight="1">
      <c r="A26" s="39"/>
      <c r="B26" s="2"/>
      <c r="C26" s="2"/>
      <c r="D26" s="12"/>
      <c r="E26" s="21"/>
      <c r="F26" s="12"/>
      <c r="G26" s="41">
        <v>25</v>
      </c>
      <c r="H26" s="41">
        <v>25</v>
      </c>
    </row>
    <row r="27" spans="1:8" ht="24" customHeight="1">
      <c r="A27" s="39"/>
      <c r="B27" s="2"/>
      <c r="C27" s="2"/>
      <c r="D27" s="12"/>
      <c r="E27" s="21"/>
      <c r="F27" s="12"/>
      <c r="G27" s="41">
        <v>26</v>
      </c>
      <c r="H27" s="41">
        <v>26</v>
      </c>
    </row>
    <row r="28" spans="1:8" ht="24" customHeight="1">
      <c r="A28" s="39"/>
      <c r="B28" s="2"/>
      <c r="C28" s="2"/>
      <c r="D28" s="12"/>
      <c r="E28" s="21"/>
      <c r="F28" s="12"/>
      <c r="G28" s="41">
        <v>27</v>
      </c>
      <c r="H28" s="41">
        <v>27</v>
      </c>
    </row>
    <row r="29" spans="1:8" ht="24" customHeight="1">
      <c r="A29" s="39"/>
      <c r="B29" s="2"/>
      <c r="C29" s="2"/>
      <c r="D29" s="12"/>
      <c r="E29" s="21"/>
      <c r="F29" s="12"/>
      <c r="G29" s="41">
        <v>28</v>
      </c>
      <c r="H29" s="41">
        <v>28</v>
      </c>
    </row>
    <row r="30" spans="1:8" ht="24" customHeight="1">
      <c r="A30" s="39"/>
      <c r="B30" s="2"/>
      <c r="C30" s="2"/>
      <c r="D30" s="12"/>
      <c r="E30" s="21"/>
      <c r="F30" s="12"/>
      <c r="G30" s="41">
        <v>29</v>
      </c>
      <c r="H30" s="41">
        <v>29</v>
      </c>
    </row>
    <row r="31" spans="1:8" ht="24" customHeight="1">
      <c r="A31" s="39"/>
      <c r="B31" s="2"/>
      <c r="C31" s="2"/>
      <c r="D31" s="12"/>
      <c r="E31" s="21"/>
      <c r="F31" s="12"/>
      <c r="G31" s="41">
        <v>30</v>
      </c>
      <c r="H31" s="41">
        <v>30</v>
      </c>
    </row>
    <row r="32" spans="1:8" ht="24" customHeight="1">
      <c r="A32" s="39"/>
      <c r="B32" s="2"/>
      <c r="C32" s="2"/>
      <c r="D32" s="12"/>
      <c r="E32" s="21"/>
      <c r="F32" s="12"/>
      <c r="G32" s="41">
        <v>31</v>
      </c>
      <c r="H32" s="41">
        <v>31</v>
      </c>
    </row>
    <row r="33" spans="1:8" ht="24" customHeight="1">
      <c r="A33" s="39"/>
      <c r="B33" s="2"/>
      <c r="C33" s="2"/>
      <c r="D33" s="12"/>
      <c r="E33" s="21"/>
      <c r="F33" s="12"/>
      <c r="G33" s="41">
        <v>32</v>
      </c>
      <c r="H33" s="41">
        <v>32</v>
      </c>
    </row>
    <row r="34" ht="24" customHeight="1">
      <c r="E34" s="54" t="s">
        <v>216</v>
      </c>
    </row>
    <row r="35" spans="1:8" ht="24" customHeight="1">
      <c r="A35" s="34" t="s">
        <v>516</v>
      </c>
      <c r="B35" s="22"/>
      <c r="C35" s="2"/>
      <c r="D35" s="12"/>
      <c r="E35" s="21"/>
      <c r="F35" s="12"/>
      <c r="G35" s="41">
        <v>1</v>
      </c>
      <c r="H35" s="41">
        <v>1</v>
      </c>
    </row>
    <row r="36" spans="1:8" s="19" customFormat="1" ht="24" customHeight="1">
      <c r="A36" s="36" t="s">
        <v>784</v>
      </c>
      <c r="B36" s="23" t="s">
        <v>775</v>
      </c>
      <c r="C36" s="24"/>
      <c r="D36" s="25"/>
      <c r="E36" s="26"/>
      <c r="F36" s="25"/>
      <c r="G36" s="41">
        <v>2</v>
      </c>
      <c r="H36" s="41">
        <v>2</v>
      </c>
    </row>
    <row r="37" spans="1:8" s="11" customFormat="1" ht="24" customHeight="1">
      <c r="A37" s="40" t="s">
        <v>776</v>
      </c>
      <c r="B37" s="18" t="s">
        <v>783</v>
      </c>
      <c r="C37" s="18" t="s">
        <v>772</v>
      </c>
      <c r="D37" s="20" t="s">
        <v>773</v>
      </c>
      <c r="E37" s="18" t="s">
        <v>774</v>
      </c>
      <c r="F37" s="20" t="s">
        <v>773</v>
      </c>
      <c r="G37" s="41">
        <v>3</v>
      </c>
      <c r="H37" s="41">
        <v>3</v>
      </c>
    </row>
    <row r="38" spans="1:8" s="7" customFormat="1" ht="24" customHeight="1">
      <c r="A38" s="35" t="s">
        <v>5</v>
      </c>
      <c r="B38" s="8" t="s">
        <v>162</v>
      </c>
      <c r="C38" s="9"/>
      <c r="D38" s="10"/>
      <c r="E38" s="15"/>
      <c r="F38" s="10"/>
      <c r="G38" s="7">
        <v>4</v>
      </c>
      <c r="H38" s="7">
        <v>4</v>
      </c>
    </row>
    <row r="39" spans="1:8" ht="24" customHeight="1">
      <c r="A39" s="31" t="s">
        <v>6</v>
      </c>
      <c r="B39" s="3" t="s">
        <v>9</v>
      </c>
      <c r="C39" s="32" t="s">
        <v>16</v>
      </c>
      <c r="D39" s="13">
        <f>(D6*3.14667)</f>
        <v>2438.66925</v>
      </c>
      <c r="E39" s="32" t="s">
        <v>445</v>
      </c>
      <c r="F39" s="13">
        <f>(F6*3.15)</f>
        <v>2079</v>
      </c>
      <c r="G39" s="41">
        <v>5</v>
      </c>
      <c r="H39" s="41">
        <v>5</v>
      </c>
    </row>
    <row r="40" spans="1:8" ht="24" customHeight="1">
      <c r="A40" s="31" t="s">
        <v>7</v>
      </c>
      <c r="B40" s="3" t="s">
        <v>14</v>
      </c>
      <c r="C40" s="32" t="s">
        <v>17</v>
      </c>
      <c r="D40" s="13">
        <f>(D6*3.14667)</f>
        <v>2438.66925</v>
      </c>
      <c r="E40" s="32" t="s">
        <v>446</v>
      </c>
      <c r="F40" s="13">
        <f>(F6*3.15)</f>
        <v>2079</v>
      </c>
      <c r="G40" s="41">
        <v>6</v>
      </c>
      <c r="H40" s="41">
        <v>6</v>
      </c>
    </row>
    <row r="41" spans="1:8" ht="24" customHeight="1">
      <c r="A41" s="31" t="s">
        <v>8</v>
      </c>
      <c r="B41" s="3" t="s">
        <v>15</v>
      </c>
      <c r="C41" s="32" t="s">
        <v>16</v>
      </c>
      <c r="D41" s="13">
        <f>(D6*6.3)</f>
        <v>4882.5</v>
      </c>
      <c r="E41" s="32" t="s">
        <v>545</v>
      </c>
      <c r="F41" s="13">
        <f>(F6*6.3)</f>
        <v>4158</v>
      </c>
      <c r="G41" s="41">
        <v>7</v>
      </c>
      <c r="H41" s="41">
        <v>7</v>
      </c>
    </row>
    <row r="42" spans="1:8" ht="24" customHeight="1">
      <c r="A42" s="31" t="s">
        <v>18</v>
      </c>
      <c r="B42" s="3" t="s">
        <v>21</v>
      </c>
      <c r="C42" s="32" t="s">
        <v>16</v>
      </c>
      <c r="D42" s="13">
        <f>(D6*12.00001)</f>
        <v>9300.007749999999</v>
      </c>
      <c r="E42" s="32" t="s">
        <v>447</v>
      </c>
      <c r="F42" s="13">
        <f>(F6*12)</f>
        <v>7920</v>
      </c>
      <c r="G42" s="7">
        <v>8</v>
      </c>
      <c r="H42" s="7">
        <v>8</v>
      </c>
    </row>
    <row r="43" spans="1:8" ht="24" customHeight="1">
      <c r="A43" s="31" t="s">
        <v>19</v>
      </c>
      <c r="B43" s="3" t="s">
        <v>22</v>
      </c>
      <c r="C43" s="32" t="s">
        <v>17</v>
      </c>
      <c r="D43" s="13">
        <f>(D6*50.00003)</f>
        <v>38750.02325</v>
      </c>
      <c r="E43" s="32" t="s">
        <v>448</v>
      </c>
      <c r="F43" s="13">
        <f>(F6*50)</f>
        <v>33000</v>
      </c>
      <c r="G43" s="41">
        <v>9</v>
      </c>
      <c r="H43" s="41">
        <v>9</v>
      </c>
    </row>
    <row r="44" spans="1:8" ht="24" customHeight="1">
      <c r="A44" s="31" t="s">
        <v>20</v>
      </c>
      <c r="B44" s="3" t="s">
        <v>23</v>
      </c>
      <c r="C44" s="32" t="s">
        <v>16</v>
      </c>
      <c r="D44" s="13">
        <f>(D6*70.00004)</f>
        <v>54250.030999999995</v>
      </c>
      <c r="E44" s="32" t="s">
        <v>460</v>
      </c>
      <c r="F44" s="13">
        <f>(F6*70)</f>
        <v>46200</v>
      </c>
      <c r="G44" s="41">
        <v>10</v>
      </c>
      <c r="H44" s="41">
        <v>10</v>
      </c>
    </row>
    <row r="45" spans="1:8" s="7" customFormat="1" ht="24" customHeight="1">
      <c r="A45" s="35" t="s">
        <v>24</v>
      </c>
      <c r="B45" s="8" t="s">
        <v>31</v>
      </c>
      <c r="C45" s="9"/>
      <c r="D45" s="10"/>
      <c r="E45" s="15"/>
      <c r="F45" s="10"/>
      <c r="G45" s="41">
        <v>11</v>
      </c>
      <c r="H45" s="41">
        <v>11</v>
      </c>
    </row>
    <row r="46" spans="1:8" ht="24" customHeight="1">
      <c r="A46" s="31" t="s">
        <v>25</v>
      </c>
      <c r="B46" s="3" t="s">
        <v>9</v>
      </c>
      <c r="C46" s="32" t="s">
        <v>32</v>
      </c>
      <c r="D46" s="13">
        <f>(D6*1.3)</f>
        <v>1007.5</v>
      </c>
      <c r="E46" s="32" t="s">
        <v>546</v>
      </c>
      <c r="F46" s="13">
        <f>(F6*1.3)</f>
        <v>858</v>
      </c>
      <c r="G46" s="7">
        <v>12</v>
      </c>
      <c r="H46" s="7">
        <v>12</v>
      </c>
    </row>
    <row r="47" spans="1:8" ht="24" customHeight="1">
      <c r="A47" s="31" t="s">
        <v>26</v>
      </c>
      <c r="B47" s="3" t="s">
        <v>14</v>
      </c>
      <c r="C47" s="32" t="s">
        <v>32</v>
      </c>
      <c r="D47" s="13">
        <f>(D6*1.3)</f>
        <v>1007.5</v>
      </c>
      <c r="E47" s="32" t="s">
        <v>547</v>
      </c>
      <c r="F47" s="13">
        <f>(F6*1.3)</f>
        <v>858</v>
      </c>
      <c r="G47" s="41">
        <v>13</v>
      </c>
      <c r="H47" s="41">
        <v>13</v>
      </c>
    </row>
    <row r="48" spans="1:8" ht="24" customHeight="1">
      <c r="A48" s="31" t="s">
        <v>27</v>
      </c>
      <c r="B48" s="3" t="s">
        <v>15</v>
      </c>
      <c r="C48" s="32" t="s">
        <v>32</v>
      </c>
      <c r="D48" s="13">
        <f>(D6*2.6)</f>
        <v>2015</v>
      </c>
      <c r="E48" s="32" t="s">
        <v>553</v>
      </c>
      <c r="F48" s="13">
        <f>(F6*2.6)</f>
        <v>1716</v>
      </c>
      <c r="G48" s="41">
        <v>14</v>
      </c>
      <c r="H48" s="41">
        <v>14</v>
      </c>
    </row>
    <row r="49" spans="1:8" ht="24" customHeight="1">
      <c r="A49" s="31" t="s">
        <v>28</v>
      </c>
      <c r="B49" s="3" t="s">
        <v>21</v>
      </c>
      <c r="C49" s="32" t="s">
        <v>32</v>
      </c>
      <c r="D49" s="13">
        <f>(D6*6)</f>
        <v>4650</v>
      </c>
      <c r="E49" s="32" t="s">
        <v>554</v>
      </c>
      <c r="F49" s="13">
        <f>(F6*6)</f>
        <v>3960</v>
      </c>
      <c r="G49" s="41">
        <v>15</v>
      </c>
      <c r="H49" s="41">
        <v>15</v>
      </c>
    </row>
    <row r="50" spans="1:8" ht="24" customHeight="1">
      <c r="A50" s="31" t="s">
        <v>29</v>
      </c>
      <c r="B50" s="3" t="s">
        <v>22</v>
      </c>
      <c r="C50" s="32" t="s">
        <v>32</v>
      </c>
      <c r="D50" s="13">
        <f>(D6*25.00001)</f>
        <v>19375.00775</v>
      </c>
      <c r="E50" s="32" t="s">
        <v>461</v>
      </c>
      <c r="F50" s="13">
        <f>(F6*25)</f>
        <v>16500</v>
      </c>
      <c r="G50" s="7">
        <v>16</v>
      </c>
      <c r="H50" s="7">
        <v>16</v>
      </c>
    </row>
    <row r="51" spans="1:8" ht="24" customHeight="1">
      <c r="A51" s="31" t="s">
        <v>30</v>
      </c>
      <c r="B51" s="3" t="s">
        <v>23</v>
      </c>
      <c r="C51" s="32" t="s">
        <v>32</v>
      </c>
      <c r="D51" s="13">
        <f>(D6*35.00002)</f>
        <v>27125.015499999998</v>
      </c>
      <c r="E51" s="32" t="s">
        <v>462</v>
      </c>
      <c r="F51" s="13">
        <f>(F6*35)</f>
        <v>23100</v>
      </c>
      <c r="G51" s="41">
        <v>17</v>
      </c>
      <c r="H51" s="41">
        <v>17</v>
      </c>
    </row>
    <row r="52" spans="1:8" s="7" customFormat="1" ht="24" customHeight="1">
      <c r="A52" s="35" t="s">
        <v>33</v>
      </c>
      <c r="B52" s="8" t="s">
        <v>517</v>
      </c>
      <c r="C52" s="9"/>
      <c r="D52" s="10"/>
      <c r="E52" s="15"/>
      <c r="F52" s="10"/>
      <c r="G52" s="41">
        <v>18</v>
      </c>
      <c r="H52" s="41">
        <v>18</v>
      </c>
    </row>
    <row r="53" spans="1:8" ht="24" customHeight="1">
      <c r="A53" s="31" t="s">
        <v>35</v>
      </c>
      <c r="B53" s="3" t="s">
        <v>9</v>
      </c>
      <c r="C53" s="32" t="s">
        <v>34</v>
      </c>
      <c r="D53" s="13">
        <f>(D6*1.5)</f>
        <v>1162.5</v>
      </c>
      <c r="E53" s="32" t="s">
        <v>555</v>
      </c>
      <c r="F53" s="13">
        <f>(F6*1.5)</f>
        <v>990</v>
      </c>
      <c r="G53" s="41">
        <v>19</v>
      </c>
      <c r="H53" s="41">
        <v>19</v>
      </c>
    </row>
    <row r="54" spans="1:8" ht="24" customHeight="1">
      <c r="A54" s="31" t="s">
        <v>36</v>
      </c>
      <c r="B54" s="3" t="s">
        <v>14</v>
      </c>
      <c r="C54" s="32" t="s">
        <v>34</v>
      </c>
      <c r="D54" s="13">
        <f>(D6*1.5)</f>
        <v>1162.5</v>
      </c>
      <c r="E54" s="32" t="s">
        <v>556</v>
      </c>
      <c r="F54" s="13">
        <f>(F6*1.5)</f>
        <v>990</v>
      </c>
      <c r="G54" s="7">
        <v>20</v>
      </c>
      <c r="H54" s="7">
        <v>20</v>
      </c>
    </row>
    <row r="55" spans="1:8" ht="24" customHeight="1">
      <c r="A55" s="31" t="s">
        <v>37</v>
      </c>
      <c r="B55" s="3" t="s">
        <v>15</v>
      </c>
      <c r="C55" s="32" t="s">
        <v>34</v>
      </c>
      <c r="D55" s="13">
        <f>(D6*3)</f>
        <v>2325</v>
      </c>
      <c r="E55" s="32" t="s">
        <v>512</v>
      </c>
      <c r="F55" s="13">
        <f>(F6*3)</f>
        <v>1980</v>
      </c>
      <c r="G55" s="41">
        <v>21</v>
      </c>
      <c r="H55" s="41">
        <v>21</v>
      </c>
    </row>
    <row r="56" spans="1:8" ht="24" customHeight="1">
      <c r="A56" s="31" t="s">
        <v>38</v>
      </c>
      <c r="B56" s="3" t="s">
        <v>21</v>
      </c>
      <c r="C56" s="32" t="s">
        <v>34</v>
      </c>
      <c r="D56" s="13">
        <f>(D6*7)</f>
        <v>5425</v>
      </c>
      <c r="E56" s="32" t="s">
        <v>557</v>
      </c>
      <c r="F56" s="13">
        <f>(F6*7)</f>
        <v>4620</v>
      </c>
      <c r="G56" s="41">
        <v>22</v>
      </c>
      <c r="H56" s="41">
        <v>22</v>
      </c>
    </row>
    <row r="57" spans="1:8" ht="24" customHeight="1">
      <c r="A57" s="31" t="s">
        <v>39</v>
      </c>
      <c r="B57" s="3" t="s">
        <v>22</v>
      </c>
      <c r="C57" s="32" t="s">
        <v>34</v>
      </c>
      <c r="D57" s="13">
        <f>(D6*29.00001)</f>
        <v>22475.00775</v>
      </c>
      <c r="E57" s="32" t="s">
        <v>463</v>
      </c>
      <c r="F57" s="13">
        <f>(F6*29)</f>
        <v>19140</v>
      </c>
      <c r="G57" s="41">
        <v>23</v>
      </c>
      <c r="H57" s="41">
        <v>23</v>
      </c>
    </row>
    <row r="58" spans="1:8" ht="24" customHeight="1">
      <c r="A58" s="31" t="s">
        <v>40</v>
      </c>
      <c r="B58" s="3" t="s">
        <v>23</v>
      </c>
      <c r="C58" s="32" t="s">
        <v>34</v>
      </c>
      <c r="D58" s="13">
        <f>(D6*40.00002)</f>
        <v>31000.015499999998</v>
      </c>
      <c r="E58" s="32" t="s">
        <v>464</v>
      </c>
      <c r="F58" s="13">
        <f>(F6*40)</f>
        <v>26400</v>
      </c>
      <c r="G58" s="41">
        <v>24</v>
      </c>
      <c r="H58" s="41">
        <v>24</v>
      </c>
    </row>
    <row r="59" spans="1:8" ht="24" customHeight="1">
      <c r="A59" s="39"/>
      <c r="B59" s="55" t="s">
        <v>41</v>
      </c>
      <c r="C59" s="2"/>
      <c r="D59" s="12"/>
      <c r="E59" s="21"/>
      <c r="F59" s="12"/>
      <c r="G59" s="41">
        <v>25</v>
      </c>
      <c r="H59" s="41">
        <v>25</v>
      </c>
    </row>
    <row r="60" spans="1:8" ht="24" customHeight="1">
      <c r="A60" s="39"/>
      <c r="B60" s="2"/>
      <c r="C60" s="2"/>
      <c r="D60" s="12"/>
      <c r="E60" s="21"/>
      <c r="F60" s="12"/>
      <c r="G60" s="41">
        <v>26</v>
      </c>
      <c r="H60" s="41">
        <v>26</v>
      </c>
    </row>
    <row r="61" spans="7:8" ht="24" customHeight="1">
      <c r="G61" s="41">
        <v>27</v>
      </c>
      <c r="H61" s="41">
        <v>27</v>
      </c>
    </row>
    <row r="62" spans="7:8" ht="24" customHeight="1">
      <c r="G62" s="41">
        <v>28</v>
      </c>
      <c r="H62" s="41">
        <v>28</v>
      </c>
    </row>
    <row r="63" spans="7:8" ht="24" customHeight="1">
      <c r="G63" s="41">
        <v>29</v>
      </c>
      <c r="H63" s="41">
        <v>29</v>
      </c>
    </row>
    <row r="64" spans="7:8" ht="24" customHeight="1">
      <c r="G64" s="41">
        <v>30</v>
      </c>
      <c r="H64" s="41">
        <v>30</v>
      </c>
    </row>
    <row r="65" spans="7:8" ht="24" customHeight="1">
      <c r="G65" s="41">
        <v>31</v>
      </c>
      <c r="H65" s="41">
        <v>31</v>
      </c>
    </row>
    <row r="66" spans="7:8" ht="24" customHeight="1">
      <c r="G66" s="41">
        <v>32</v>
      </c>
      <c r="H66" s="41">
        <v>32</v>
      </c>
    </row>
    <row r="67" spans="7:8" ht="24" customHeight="1">
      <c r="G67" s="41">
        <v>33</v>
      </c>
      <c r="H67" s="41">
        <v>33</v>
      </c>
    </row>
    <row r="68" ht="24" customHeight="1">
      <c r="E68" s="54" t="s">
        <v>217</v>
      </c>
    </row>
    <row r="69" spans="1:8" ht="24" customHeight="1">
      <c r="A69" s="34" t="s">
        <v>516</v>
      </c>
      <c r="B69" s="22"/>
      <c r="C69" s="2"/>
      <c r="D69" s="12"/>
      <c r="E69" s="21"/>
      <c r="F69" s="12"/>
      <c r="G69" s="41">
        <v>1</v>
      </c>
      <c r="H69" s="41">
        <v>1</v>
      </c>
    </row>
    <row r="70" spans="1:8" ht="24" customHeight="1">
      <c r="A70" s="36" t="s">
        <v>43</v>
      </c>
      <c r="B70" s="23" t="s">
        <v>42</v>
      </c>
      <c r="C70" s="24"/>
      <c r="D70" s="25"/>
      <c r="E70" s="26"/>
      <c r="F70" s="25"/>
      <c r="G70" s="41">
        <v>2</v>
      </c>
      <c r="H70" s="41">
        <v>2</v>
      </c>
    </row>
    <row r="71" spans="1:8" ht="24" customHeight="1">
      <c r="A71" s="40" t="s">
        <v>776</v>
      </c>
      <c r="B71" s="18" t="s">
        <v>783</v>
      </c>
      <c r="C71" s="18" t="s">
        <v>772</v>
      </c>
      <c r="D71" s="20" t="s">
        <v>773</v>
      </c>
      <c r="E71" s="18" t="s">
        <v>774</v>
      </c>
      <c r="F71" s="20" t="s">
        <v>773</v>
      </c>
      <c r="G71" s="41">
        <v>3</v>
      </c>
      <c r="H71" s="41">
        <v>3</v>
      </c>
    </row>
    <row r="72" spans="1:8" ht="24" customHeight="1">
      <c r="A72" s="35" t="s">
        <v>45</v>
      </c>
      <c r="B72" s="8" t="s">
        <v>44</v>
      </c>
      <c r="C72" s="9"/>
      <c r="D72" s="10"/>
      <c r="E72" s="15"/>
      <c r="F72" s="10"/>
      <c r="G72" s="7">
        <v>4</v>
      </c>
      <c r="H72" s="7">
        <v>4</v>
      </c>
    </row>
    <row r="73" spans="1:8" ht="33.75" customHeight="1">
      <c r="A73" s="31" t="s">
        <v>46</v>
      </c>
      <c r="B73" s="3"/>
      <c r="C73" s="32" t="s">
        <v>778</v>
      </c>
      <c r="D73" s="13">
        <f>(D6*0.666666)</f>
        <v>516.66615</v>
      </c>
      <c r="E73" s="32" t="s">
        <v>231</v>
      </c>
      <c r="F73" s="13">
        <f>(F6*0.69737)</f>
        <v>460.2642</v>
      </c>
      <c r="G73" s="41">
        <v>5</v>
      </c>
      <c r="H73" s="41">
        <v>5</v>
      </c>
    </row>
    <row r="74" spans="1:8" ht="24" customHeight="1">
      <c r="A74" s="31" t="s">
        <v>47</v>
      </c>
      <c r="B74" s="3"/>
      <c r="C74" s="32" t="s">
        <v>779</v>
      </c>
      <c r="D74" s="13">
        <f>(D6*1.5*0.711115)</f>
        <v>826.6711875000001</v>
      </c>
      <c r="E74" s="33" t="s">
        <v>466</v>
      </c>
      <c r="F74" s="13">
        <f>(F6*1.5*0.69737)</f>
        <v>690.3963</v>
      </c>
      <c r="G74" s="41">
        <v>6</v>
      </c>
      <c r="H74" s="41">
        <v>6</v>
      </c>
    </row>
    <row r="75" spans="1:8" ht="24" customHeight="1">
      <c r="A75" s="31" t="s">
        <v>48</v>
      </c>
      <c r="B75" s="3"/>
      <c r="C75" s="32" t="s">
        <v>780</v>
      </c>
      <c r="D75" s="13">
        <f>(D6*1.5*0.7111115*2)</f>
        <v>1653.3342375</v>
      </c>
      <c r="E75" s="33" t="s">
        <v>468</v>
      </c>
      <c r="F75" s="13">
        <f>(F6*3*0.69737)</f>
        <v>1380.7926</v>
      </c>
      <c r="G75" s="41">
        <v>7</v>
      </c>
      <c r="H75" s="41">
        <v>7</v>
      </c>
    </row>
    <row r="76" spans="1:8" ht="24" customHeight="1">
      <c r="A76" s="38" t="s">
        <v>50</v>
      </c>
      <c r="B76" s="8" t="s">
        <v>49</v>
      </c>
      <c r="C76" s="5"/>
      <c r="D76" s="6"/>
      <c r="E76" s="16"/>
      <c r="F76" s="6"/>
      <c r="G76" s="7">
        <v>8</v>
      </c>
      <c r="H76" s="7">
        <v>8</v>
      </c>
    </row>
    <row r="77" spans="1:8" ht="33.75" customHeight="1">
      <c r="A77" s="31" t="s">
        <v>51</v>
      </c>
      <c r="B77" s="3"/>
      <c r="C77" s="32" t="s">
        <v>778</v>
      </c>
      <c r="D77" s="13">
        <f>(D6*0.58333*0.8)</f>
        <v>361.66460000000006</v>
      </c>
      <c r="E77" s="32" t="s">
        <v>238</v>
      </c>
      <c r="F77" s="13">
        <f>(F6*0.6579*0.8)</f>
        <v>347.37120000000004</v>
      </c>
      <c r="G77" s="41">
        <v>9</v>
      </c>
      <c r="H77" s="41">
        <v>9</v>
      </c>
    </row>
    <row r="78" spans="1:8" ht="24" customHeight="1">
      <c r="A78" s="31" t="s">
        <v>52</v>
      </c>
      <c r="B78" s="3"/>
      <c r="C78" s="32" t="s">
        <v>779</v>
      </c>
      <c r="D78" s="13">
        <f>(D6*1.5*0.666666*0.8)</f>
        <v>619.9993800000001</v>
      </c>
      <c r="E78" s="33" t="s">
        <v>470</v>
      </c>
      <c r="F78" s="13">
        <f>(F6*1.5*0.6579*0.8)</f>
        <v>521.0568000000001</v>
      </c>
      <c r="G78" s="41">
        <v>10</v>
      </c>
      <c r="H78" s="41">
        <v>10</v>
      </c>
    </row>
    <row r="79" spans="1:8" ht="24" customHeight="1">
      <c r="A79" s="31" t="s">
        <v>53</v>
      </c>
      <c r="B79" s="3"/>
      <c r="C79" s="32" t="s">
        <v>780</v>
      </c>
      <c r="D79" s="13">
        <f>(D6*1.5*0.666666*0.8*2)</f>
        <v>1239.9987600000002</v>
      </c>
      <c r="E79" s="33" t="s">
        <v>471</v>
      </c>
      <c r="F79" s="13">
        <f>(F6*3*0.657895*0.8)</f>
        <v>1042.1056800000001</v>
      </c>
      <c r="G79" s="41">
        <v>11</v>
      </c>
      <c r="H79" s="41">
        <v>11</v>
      </c>
    </row>
    <row r="80" spans="1:8" ht="24" customHeight="1">
      <c r="A80" s="38" t="s">
        <v>54</v>
      </c>
      <c r="B80" s="8" t="s">
        <v>55</v>
      </c>
      <c r="C80" s="5"/>
      <c r="D80" s="6"/>
      <c r="E80" s="16"/>
      <c r="F80" s="6"/>
      <c r="G80" s="7">
        <v>12</v>
      </c>
      <c r="H80" s="7">
        <v>12</v>
      </c>
    </row>
    <row r="81" spans="1:8" ht="33.75" customHeight="1">
      <c r="A81" s="31" t="s">
        <v>56</v>
      </c>
      <c r="B81" s="3"/>
      <c r="C81" s="32" t="s">
        <v>778</v>
      </c>
      <c r="D81" s="13">
        <f>(D6*0.6*0.8*10)</f>
        <v>3720</v>
      </c>
      <c r="E81" s="32" t="s">
        <v>232</v>
      </c>
      <c r="F81" s="13">
        <f>(F6*0.657895*0.8*10)</f>
        <v>3473.6856000000007</v>
      </c>
      <c r="G81" s="41">
        <v>13</v>
      </c>
      <c r="H81" s="41">
        <v>13</v>
      </c>
    </row>
    <row r="82" spans="1:8" ht="24" customHeight="1">
      <c r="A82" s="31" t="s">
        <v>57</v>
      </c>
      <c r="B82" s="3"/>
      <c r="C82" s="32" t="s">
        <v>779</v>
      </c>
      <c r="D82" s="13">
        <f>SUM(D6*1.5*0.6*0.8*10)</f>
        <v>5580</v>
      </c>
      <c r="E82" s="33" t="s">
        <v>473</v>
      </c>
      <c r="F82" s="13">
        <f>SUM(F6*1.5*0.657895*0.8*10)</f>
        <v>5210.528400000001</v>
      </c>
      <c r="G82" s="41">
        <v>14</v>
      </c>
      <c r="H82" s="41">
        <v>14</v>
      </c>
    </row>
    <row r="83" spans="1:8" ht="24" customHeight="1">
      <c r="A83" s="31" t="s">
        <v>58</v>
      </c>
      <c r="B83" s="3"/>
      <c r="C83" s="3" t="s">
        <v>780</v>
      </c>
      <c r="D83" s="13">
        <f>SUM(D6*1.5*0.6000001*0.8*10*2)</f>
        <v>11160.00186</v>
      </c>
      <c r="E83" s="33" t="s">
        <v>474</v>
      </c>
      <c r="F83" s="13">
        <f>SUM(F6*3*0.657895*0.8*10)</f>
        <v>10421.056800000002</v>
      </c>
      <c r="G83" s="41">
        <v>15</v>
      </c>
      <c r="H83" s="41">
        <v>15</v>
      </c>
    </row>
    <row r="84" spans="1:8" ht="24" customHeight="1">
      <c r="A84" s="38" t="s">
        <v>60</v>
      </c>
      <c r="B84" s="4" t="s">
        <v>59</v>
      </c>
      <c r="C84" s="5"/>
      <c r="D84" s="6"/>
      <c r="E84" s="16"/>
      <c r="F84" s="6"/>
      <c r="G84" s="7">
        <v>16</v>
      </c>
      <c r="H84" s="7">
        <v>16</v>
      </c>
    </row>
    <row r="85" spans="1:8" ht="33.75" customHeight="1">
      <c r="A85" s="31" t="s">
        <v>61</v>
      </c>
      <c r="B85" s="3"/>
      <c r="C85" s="32" t="s">
        <v>778</v>
      </c>
      <c r="D85" s="13">
        <f>SUM(D6*0.6555555*30*0.4)</f>
        <v>6096.66615</v>
      </c>
      <c r="E85" s="32" t="s">
        <v>234</v>
      </c>
      <c r="F85" s="13">
        <f>SUM(F6*0.657895*30*0.4)</f>
        <v>5210.528400000001</v>
      </c>
      <c r="G85" s="41">
        <v>17</v>
      </c>
      <c r="H85" s="41">
        <v>17</v>
      </c>
    </row>
    <row r="86" spans="1:8" ht="24" customHeight="1">
      <c r="A86" s="31" t="s">
        <v>62</v>
      </c>
      <c r="B86" s="3"/>
      <c r="C86" s="32" t="s">
        <v>779</v>
      </c>
      <c r="D86" s="13">
        <f>SUM(D6*1.5*0.651852*30*0.4)</f>
        <v>9093.335400000002</v>
      </c>
      <c r="E86" s="33" t="s">
        <v>211</v>
      </c>
      <c r="F86" s="13">
        <f>SUM(F6*1.5*0.657895*30*0.4)</f>
        <v>7815.792600000001</v>
      </c>
      <c r="G86" s="41">
        <v>18</v>
      </c>
      <c r="H86" s="41">
        <v>18</v>
      </c>
    </row>
    <row r="87" spans="1:8" ht="30" customHeight="1">
      <c r="A87" s="31" t="s">
        <v>63</v>
      </c>
      <c r="B87" s="3"/>
      <c r="C87" s="32" t="s">
        <v>780</v>
      </c>
      <c r="D87" s="13">
        <f>SUM(D6*1.5*0.6518524*30*0.4*2)</f>
        <v>18186.681959999998</v>
      </c>
      <c r="E87" s="33" t="s">
        <v>239</v>
      </c>
      <c r="F87" s="13">
        <f>SUM(F6*3*0.6578946*30*0.4)</f>
        <v>15631.575696</v>
      </c>
      <c r="G87" s="41">
        <v>19</v>
      </c>
      <c r="H87" s="41">
        <v>19</v>
      </c>
    </row>
    <row r="88" spans="1:8" ht="24" customHeight="1">
      <c r="A88" s="38" t="s">
        <v>64</v>
      </c>
      <c r="B88" s="4" t="s">
        <v>68</v>
      </c>
      <c r="C88" s="5"/>
      <c r="D88" s="6"/>
      <c r="E88" s="16"/>
      <c r="F88" s="6"/>
      <c r="G88" s="7">
        <v>20</v>
      </c>
      <c r="H88" s="7">
        <v>20</v>
      </c>
    </row>
    <row r="89" spans="1:8" ht="24" customHeight="1">
      <c r="A89" s="31" t="s">
        <v>65</v>
      </c>
      <c r="B89" s="3"/>
      <c r="C89" s="32" t="s">
        <v>807</v>
      </c>
      <c r="D89" s="13">
        <f>(D6*0.65334)</f>
        <v>506.3385</v>
      </c>
      <c r="E89" s="32" t="s">
        <v>213</v>
      </c>
      <c r="F89" s="13">
        <f>(F6*0.657895)</f>
        <v>434.21070000000003</v>
      </c>
      <c r="G89" s="41">
        <v>21</v>
      </c>
      <c r="H89" s="41">
        <v>21</v>
      </c>
    </row>
    <row r="90" spans="1:8" ht="24" customHeight="1">
      <c r="A90" s="31" t="s">
        <v>66</v>
      </c>
      <c r="B90" s="3"/>
      <c r="C90" s="32" t="s">
        <v>808</v>
      </c>
      <c r="D90" s="13">
        <f>(D6*0.65185*0.9)</f>
        <v>454.66537500000004</v>
      </c>
      <c r="E90" s="32" t="s">
        <v>262</v>
      </c>
      <c r="F90" s="13">
        <f>(F6*0.657895*0.9)</f>
        <v>390.78963000000005</v>
      </c>
      <c r="G90" s="41">
        <v>22</v>
      </c>
      <c r="H90" s="41">
        <v>22</v>
      </c>
    </row>
    <row r="91" spans="1:8" ht="24" customHeight="1">
      <c r="A91" s="31" t="s">
        <v>67</v>
      </c>
      <c r="B91" s="3"/>
      <c r="C91" s="32" t="s">
        <v>0</v>
      </c>
      <c r="D91" s="13">
        <f>SUM(D6*0.65*0.8)</f>
        <v>403</v>
      </c>
      <c r="E91" s="33" t="s">
        <v>263</v>
      </c>
      <c r="F91" s="13">
        <f>SUM(F6*0.657895*0.8)</f>
        <v>347.36856000000006</v>
      </c>
      <c r="G91" s="41">
        <v>23</v>
      </c>
      <c r="H91" s="41">
        <v>23</v>
      </c>
    </row>
    <row r="92" spans="1:8" ht="24" customHeight="1">
      <c r="A92" s="38" t="s">
        <v>69</v>
      </c>
      <c r="B92" s="4" t="s">
        <v>73</v>
      </c>
      <c r="C92" s="5"/>
      <c r="D92" s="6"/>
      <c r="E92" s="16"/>
      <c r="F92" s="6"/>
      <c r="G92" s="41">
        <v>24</v>
      </c>
      <c r="H92" s="41">
        <v>24</v>
      </c>
    </row>
    <row r="93" spans="1:8" ht="24" customHeight="1">
      <c r="A93" s="31" t="s">
        <v>70</v>
      </c>
      <c r="B93" s="3"/>
      <c r="C93" s="32" t="s">
        <v>16</v>
      </c>
      <c r="D93" s="13">
        <f>(D6*0.4)</f>
        <v>310</v>
      </c>
      <c r="E93" s="32" t="s">
        <v>268</v>
      </c>
      <c r="F93" s="13">
        <f>(F6*0.36842)</f>
        <v>243.15720000000002</v>
      </c>
      <c r="G93" s="41">
        <v>25</v>
      </c>
      <c r="H93" s="41">
        <v>25</v>
      </c>
    </row>
    <row r="94" spans="1:8" ht="24" customHeight="1">
      <c r="A94" s="31" t="s">
        <v>71</v>
      </c>
      <c r="B94" s="3"/>
      <c r="C94" s="32" t="s">
        <v>16</v>
      </c>
      <c r="D94" s="13">
        <f>(D6*0.4)</f>
        <v>310</v>
      </c>
      <c r="E94" s="32" t="s">
        <v>269</v>
      </c>
      <c r="F94" s="13">
        <f>(F6*0.36842)</f>
        <v>243.15720000000002</v>
      </c>
      <c r="G94" s="41">
        <v>26</v>
      </c>
      <c r="H94" s="41">
        <v>26</v>
      </c>
    </row>
    <row r="95" spans="1:8" ht="30" customHeight="1">
      <c r="A95" s="31" t="s">
        <v>72</v>
      </c>
      <c r="B95" s="3"/>
      <c r="C95" s="32" t="s">
        <v>16</v>
      </c>
      <c r="D95" s="13">
        <f>(D6*0.73333)</f>
        <v>568.3307500000001</v>
      </c>
      <c r="E95" s="33" t="s">
        <v>240</v>
      </c>
      <c r="F95" s="13">
        <f>(F6*0.75)</f>
        <v>495</v>
      </c>
      <c r="G95" s="41">
        <v>27</v>
      </c>
      <c r="H95" s="41">
        <v>27</v>
      </c>
    </row>
    <row r="96" spans="1:8" ht="24" customHeight="1">
      <c r="A96" s="31" t="s">
        <v>74</v>
      </c>
      <c r="B96" s="3"/>
      <c r="C96" s="32" t="s">
        <v>16</v>
      </c>
      <c r="D96" s="13">
        <f>(D6*1.33333)</f>
        <v>1033.3307499999999</v>
      </c>
      <c r="E96" s="33" t="s">
        <v>265</v>
      </c>
      <c r="F96" s="13">
        <f>(F6*1.51316)</f>
        <v>998.6856</v>
      </c>
      <c r="G96" s="41">
        <v>28</v>
      </c>
      <c r="H96" s="41">
        <v>28</v>
      </c>
    </row>
    <row r="97" spans="1:8" ht="24" customHeight="1">
      <c r="A97" s="31" t="s">
        <v>75</v>
      </c>
      <c r="B97" s="3"/>
      <c r="C97" s="32" t="s">
        <v>16</v>
      </c>
      <c r="D97" s="13">
        <f>(D6*0.73333)</f>
        <v>568.3307500000001</v>
      </c>
      <c r="E97" s="33" t="s">
        <v>266</v>
      </c>
      <c r="F97" s="13">
        <f>(F6*0.75)</f>
        <v>495</v>
      </c>
      <c r="G97" s="41">
        <v>29</v>
      </c>
      <c r="H97" s="41">
        <v>29</v>
      </c>
    </row>
    <row r="98" spans="1:8" ht="24" customHeight="1">
      <c r="A98" s="31" t="s">
        <v>76</v>
      </c>
      <c r="B98" s="3"/>
      <c r="C98" s="32" t="s">
        <v>16</v>
      </c>
      <c r="D98" s="13">
        <f>(D6*1.33333)</f>
        <v>1033.3307499999999</v>
      </c>
      <c r="E98" s="33" t="s">
        <v>267</v>
      </c>
      <c r="F98" s="13">
        <f>(F6*1.51316)</f>
        <v>998.6856</v>
      </c>
      <c r="G98" s="41">
        <v>30</v>
      </c>
      <c r="H98" s="41">
        <v>30</v>
      </c>
    </row>
    <row r="99" spans="1:8" ht="24" customHeight="1">
      <c r="A99" s="39"/>
      <c r="B99" s="2"/>
      <c r="C99" s="2"/>
      <c r="D99" s="12"/>
      <c r="E99" s="21"/>
      <c r="F99" s="12"/>
      <c r="G99" s="41">
        <v>31</v>
      </c>
      <c r="H99" s="41">
        <v>31</v>
      </c>
    </row>
    <row r="100" spans="1:8" ht="24" customHeight="1">
      <c r="A100" s="39"/>
      <c r="B100" s="2"/>
      <c r="C100" s="2"/>
      <c r="D100" s="12"/>
      <c r="E100" s="21"/>
      <c r="F100" s="12"/>
      <c r="G100" s="41">
        <v>32</v>
      </c>
      <c r="H100" s="41">
        <v>32</v>
      </c>
    </row>
    <row r="101" ht="24" customHeight="1">
      <c r="E101" s="54" t="s">
        <v>218</v>
      </c>
    </row>
    <row r="102" spans="1:8" ht="24" customHeight="1">
      <c r="A102" s="34" t="s">
        <v>516</v>
      </c>
      <c r="B102" s="22"/>
      <c r="C102" s="2"/>
      <c r="D102" s="12"/>
      <c r="E102" s="21"/>
      <c r="F102" s="12"/>
      <c r="G102" s="41">
        <v>1</v>
      </c>
      <c r="H102" s="41">
        <v>1</v>
      </c>
    </row>
    <row r="103" spans="1:8" s="19" customFormat="1" ht="24" customHeight="1">
      <c r="A103" s="36" t="s">
        <v>43</v>
      </c>
      <c r="B103" s="23" t="s">
        <v>42</v>
      </c>
      <c r="C103" s="24"/>
      <c r="D103" s="25"/>
      <c r="E103" s="26"/>
      <c r="F103" s="25"/>
      <c r="G103" s="41">
        <v>2</v>
      </c>
      <c r="H103" s="41">
        <v>2</v>
      </c>
    </row>
    <row r="104" spans="1:8" s="11" customFormat="1" ht="24" customHeight="1">
      <c r="A104" s="40" t="s">
        <v>776</v>
      </c>
      <c r="B104" s="18" t="s">
        <v>783</v>
      </c>
      <c r="C104" s="18" t="s">
        <v>772</v>
      </c>
      <c r="D104" s="20" t="s">
        <v>773</v>
      </c>
      <c r="E104" s="18" t="s">
        <v>774</v>
      </c>
      <c r="F104" s="20" t="s">
        <v>773</v>
      </c>
      <c r="G104" s="41">
        <v>3</v>
      </c>
      <c r="H104" s="41">
        <v>3</v>
      </c>
    </row>
    <row r="105" spans="1:8" s="7" customFormat="1" ht="24" customHeight="1">
      <c r="A105" s="35" t="s">
        <v>77</v>
      </c>
      <c r="B105" s="8" t="s">
        <v>161</v>
      </c>
      <c r="C105" s="9"/>
      <c r="D105" s="10"/>
      <c r="E105" s="15"/>
      <c r="F105" s="10"/>
      <c r="G105" s="7">
        <v>4</v>
      </c>
      <c r="H105" s="7">
        <v>4</v>
      </c>
    </row>
    <row r="106" spans="1:8" ht="24" customHeight="1">
      <c r="A106" s="31" t="s">
        <v>78</v>
      </c>
      <c r="B106" s="3" t="s">
        <v>15</v>
      </c>
      <c r="C106" s="32" t="s">
        <v>16</v>
      </c>
      <c r="D106" s="13">
        <f>(D6*3.066666)</f>
        <v>2376.66615</v>
      </c>
      <c r="E106" s="32" t="s">
        <v>270</v>
      </c>
      <c r="F106" s="13">
        <f>(F6*3.15)</f>
        <v>2079</v>
      </c>
      <c r="G106" s="41">
        <v>5</v>
      </c>
      <c r="H106" s="41">
        <v>5</v>
      </c>
    </row>
    <row r="107" spans="1:8" ht="24" customHeight="1">
      <c r="A107" s="31" t="s">
        <v>79</v>
      </c>
      <c r="B107" s="3" t="s">
        <v>82</v>
      </c>
      <c r="C107" s="32" t="s">
        <v>17</v>
      </c>
      <c r="D107" s="13">
        <f>(D6*10)</f>
        <v>7750</v>
      </c>
      <c r="E107" s="32" t="s">
        <v>558</v>
      </c>
      <c r="F107" s="13">
        <f>(F6*10)</f>
        <v>6600</v>
      </c>
      <c r="G107" s="41">
        <v>6</v>
      </c>
      <c r="H107" s="41">
        <v>6</v>
      </c>
    </row>
    <row r="108" spans="1:8" ht="24" customHeight="1">
      <c r="A108" s="31" t="s">
        <v>80</v>
      </c>
      <c r="B108" s="3" t="s">
        <v>83</v>
      </c>
      <c r="C108" s="32" t="s">
        <v>16</v>
      </c>
      <c r="D108" s="13">
        <f>(D6*24.00001)</f>
        <v>18600.00775</v>
      </c>
      <c r="E108" s="32" t="s">
        <v>271</v>
      </c>
      <c r="F108" s="13">
        <f>(F6*25)</f>
        <v>16500</v>
      </c>
      <c r="G108" s="41">
        <v>7</v>
      </c>
      <c r="H108" s="41">
        <v>7</v>
      </c>
    </row>
    <row r="109" spans="1:8" ht="24" customHeight="1">
      <c r="A109" s="31" t="s">
        <v>81</v>
      </c>
      <c r="B109" s="3" t="s">
        <v>84</v>
      </c>
      <c r="C109" s="32" t="s">
        <v>16</v>
      </c>
      <c r="D109" s="13">
        <f>(D6*30.00002)</f>
        <v>23250.015499999998</v>
      </c>
      <c r="E109" s="32" t="s">
        <v>279</v>
      </c>
      <c r="F109" s="13">
        <f>(F6*30)</f>
        <v>19800</v>
      </c>
      <c r="G109" s="7">
        <v>8</v>
      </c>
      <c r="H109" s="7">
        <v>8</v>
      </c>
    </row>
    <row r="110" spans="1:8" s="7" customFormat="1" ht="24" customHeight="1">
      <c r="A110" s="35" t="s">
        <v>87</v>
      </c>
      <c r="B110" s="8" t="s">
        <v>85</v>
      </c>
      <c r="C110" s="9"/>
      <c r="D110" s="10"/>
      <c r="E110" s="15"/>
      <c r="F110" s="10"/>
      <c r="G110" s="41">
        <v>9</v>
      </c>
      <c r="H110" s="41">
        <v>9</v>
      </c>
    </row>
    <row r="111" spans="1:8" ht="24" customHeight="1">
      <c r="A111" s="31" t="s">
        <v>78</v>
      </c>
      <c r="B111" s="3" t="s">
        <v>15</v>
      </c>
      <c r="C111" s="32" t="s">
        <v>32</v>
      </c>
      <c r="D111" s="13">
        <f>(D6*3.15*0.380953)</f>
        <v>930.00151125</v>
      </c>
      <c r="E111" s="32" t="s">
        <v>280</v>
      </c>
      <c r="F111" s="13">
        <f>(F6*3.15*0.396825)</f>
        <v>824.9991749999999</v>
      </c>
      <c r="G111" s="41">
        <v>10</v>
      </c>
      <c r="H111" s="41">
        <v>10</v>
      </c>
    </row>
    <row r="112" spans="1:8" ht="24" customHeight="1">
      <c r="A112" s="31" t="s">
        <v>79</v>
      </c>
      <c r="B112" s="3" t="s">
        <v>82</v>
      </c>
      <c r="C112" s="32" t="s">
        <v>32</v>
      </c>
      <c r="D112" s="13">
        <f>(D6*5)</f>
        <v>3875</v>
      </c>
      <c r="E112" s="32" t="s">
        <v>559</v>
      </c>
      <c r="F112" s="13">
        <f>(F6*5)</f>
        <v>3300</v>
      </c>
      <c r="G112" s="41">
        <v>11</v>
      </c>
      <c r="H112" s="41">
        <v>11</v>
      </c>
    </row>
    <row r="113" spans="1:8" ht="24" customHeight="1">
      <c r="A113" s="31" t="s">
        <v>80</v>
      </c>
      <c r="B113" s="3" t="s">
        <v>83</v>
      </c>
      <c r="C113" s="32" t="s">
        <v>32</v>
      </c>
      <c r="D113" s="13">
        <f>(D6*14.80001)</f>
        <v>11470.00775</v>
      </c>
      <c r="E113" s="32" t="s">
        <v>281</v>
      </c>
      <c r="F113" s="13">
        <f>(F6*15)</f>
        <v>9900</v>
      </c>
      <c r="G113" s="7">
        <v>12</v>
      </c>
      <c r="H113" s="7">
        <v>12</v>
      </c>
    </row>
    <row r="114" spans="1:8" ht="24" customHeight="1">
      <c r="A114" s="31" t="s">
        <v>81</v>
      </c>
      <c r="B114" s="3" t="s">
        <v>84</v>
      </c>
      <c r="C114" s="32" t="s">
        <v>32</v>
      </c>
      <c r="D114" s="13">
        <f>(D6*20.00001)</f>
        <v>15500.007749999999</v>
      </c>
      <c r="E114" s="32" t="s">
        <v>417</v>
      </c>
      <c r="F114" s="13">
        <f>(F6*20)</f>
        <v>13200</v>
      </c>
      <c r="G114" s="41">
        <v>13</v>
      </c>
      <c r="H114" s="41">
        <v>13</v>
      </c>
    </row>
    <row r="115" spans="1:8" s="7" customFormat="1" ht="24" customHeight="1">
      <c r="A115" s="35" t="s">
        <v>92</v>
      </c>
      <c r="B115" s="8" t="s">
        <v>86</v>
      </c>
      <c r="C115" s="9"/>
      <c r="D115" s="10"/>
      <c r="E115" s="15"/>
      <c r="F115" s="10"/>
      <c r="G115" s="41">
        <v>14</v>
      </c>
      <c r="H115" s="41">
        <v>14</v>
      </c>
    </row>
    <row r="116" spans="1:8" ht="24" customHeight="1">
      <c r="A116" s="31" t="s">
        <v>88</v>
      </c>
      <c r="B116" s="3" t="s">
        <v>15</v>
      </c>
      <c r="C116" s="32" t="s">
        <v>34</v>
      </c>
      <c r="D116" s="13">
        <f>(D6*3.15*0.444444)</f>
        <v>1084.9989150000001</v>
      </c>
      <c r="E116" s="32" t="s">
        <v>418</v>
      </c>
      <c r="F116" s="13">
        <f>(F6*3.15*0.44695)</f>
        <v>929.20905</v>
      </c>
      <c r="G116" s="41">
        <v>15</v>
      </c>
      <c r="H116" s="41">
        <v>15</v>
      </c>
    </row>
    <row r="117" spans="1:8" ht="24" customHeight="1">
      <c r="A117" s="31" t="s">
        <v>89</v>
      </c>
      <c r="B117" s="3" t="s">
        <v>82</v>
      </c>
      <c r="C117" s="32" t="s">
        <v>34</v>
      </c>
      <c r="D117" s="13">
        <f>(D6*5.6)</f>
        <v>4340</v>
      </c>
      <c r="E117" s="32" t="s">
        <v>419</v>
      </c>
      <c r="F117" s="13">
        <f>(F6*5.60526)</f>
        <v>3699.4716000000003</v>
      </c>
      <c r="G117" s="7">
        <v>16</v>
      </c>
      <c r="H117" s="7">
        <v>16</v>
      </c>
    </row>
    <row r="118" spans="1:8" ht="24" customHeight="1">
      <c r="A118" s="31" t="s">
        <v>90</v>
      </c>
      <c r="B118" s="3" t="s">
        <v>83</v>
      </c>
      <c r="C118" s="32" t="s">
        <v>34</v>
      </c>
      <c r="D118" s="13">
        <f>(D6*16.66667)</f>
        <v>12916.669249999999</v>
      </c>
      <c r="E118" s="32" t="s">
        <v>420</v>
      </c>
      <c r="F118" s="13">
        <f>(F6*16.67105)</f>
        <v>11002.893</v>
      </c>
      <c r="G118" s="41">
        <v>17</v>
      </c>
      <c r="H118" s="41">
        <v>17</v>
      </c>
    </row>
    <row r="119" spans="1:8" ht="24" customHeight="1">
      <c r="A119" s="31" t="s">
        <v>91</v>
      </c>
      <c r="B119" s="3" t="s">
        <v>84</v>
      </c>
      <c r="C119" s="32" t="s">
        <v>34</v>
      </c>
      <c r="D119" s="13">
        <f>(D6*22.26668)</f>
        <v>17256.677</v>
      </c>
      <c r="E119" s="32" t="s">
        <v>421</v>
      </c>
      <c r="F119" s="13">
        <f>(F6*22.27632)</f>
        <v>14702.3712</v>
      </c>
      <c r="G119" s="41">
        <v>18</v>
      </c>
      <c r="H119" s="41">
        <v>18</v>
      </c>
    </row>
    <row r="120" spans="1:8" s="7" customFormat="1" ht="24" customHeight="1">
      <c r="A120" s="35" t="s">
        <v>95</v>
      </c>
      <c r="B120" s="8" t="s">
        <v>167</v>
      </c>
      <c r="C120" s="9"/>
      <c r="D120" s="10"/>
      <c r="E120" s="15"/>
      <c r="F120" s="10"/>
      <c r="G120" s="41">
        <v>19</v>
      </c>
      <c r="H120" s="41">
        <v>19</v>
      </c>
    </row>
    <row r="121" spans="1:8" ht="24" customHeight="1">
      <c r="A121" s="31" t="s">
        <v>93</v>
      </c>
      <c r="B121" s="3" t="s">
        <v>102</v>
      </c>
      <c r="C121" s="32" t="s">
        <v>16</v>
      </c>
      <c r="D121" s="13">
        <f>(D6*100.00005)</f>
        <v>77500.03875</v>
      </c>
      <c r="E121" s="32" t="s">
        <v>422</v>
      </c>
      <c r="F121" s="13">
        <f>(F6*100)</f>
        <v>66000</v>
      </c>
      <c r="G121" s="7">
        <v>20</v>
      </c>
      <c r="H121" s="7">
        <v>20</v>
      </c>
    </row>
    <row r="122" spans="1:8" ht="24" customHeight="1">
      <c r="A122" s="31" t="s">
        <v>94</v>
      </c>
      <c r="B122" s="3" t="s">
        <v>103</v>
      </c>
      <c r="C122" s="32" t="s">
        <v>16</v>
      </c>
      <c r="D122" s="13">
        <f>(D6*10)</f>
        <v>7750</v>
      </c>
      <c r="E122" s="32" t="s">
        <v>104</v>
      </c>
      <c r="F122" s="13">
        <f>(F6*10)</f>
        <v>6600</v>
      </c>
      <c r="G122" s="41">
        <v>21</v>
      </c>
      <c r="H122" s="41">
        <v>21</v>
      </c>
    </row>
    <row r="123" spans="1:8" s="7" customFormat="1" ht="24" customHeight="1">
      <c r="A123" s="35" t="s">
        <v>98</v>
      </c>
      <c r="B123" s="8" t="s">
        <v>101</v>
      </c>
      <c r="C123" s="9"/>
      <c r="D123" s="10"/>
      <c r="E123" s="15"/>
      <c r="F123" s="10"/>
      <c r="G123" s="41">
        <v>22</v>
      </c>
      <c r="H123" s="41">
        <v>22</v>
      </c>
    </row>
    <row r="124" spans="1:8" ht="24" customHeight="1">
      <c r="A124" s="31" t="s">
        <v>96</v>
      </c>
      <c r="B124" s="3" t="s">
        <v>102</v>
      </c>
      <c r="C124" s="32" t="s">
        <v>32</v>
      </c>
      <c r="D124" s="13">
        <f>(D6*50.00003)</f>
        <v>38750.02325</v>
      </c>
      <c r="E124" s="32" t="s">
        <v>423</v>
      </c>
      <c r="F124" s="13">
        <f>(F6*50)</f>
        <v>33000</v>
      </c>
      <c r="G124" s="41">
        <v>23</v>
      </c>
      <c r="H124" s="41">
        <v>23</v>
      </c>
    </row>
    <row r="125" spans="1:8" ht="24" customHeight="1">
      <c r="A125" s="31" t="s">
        <v>97</v>
      </c>
      <c r="B125" s="3" t="s">
        <v>103</v>
      </c>
      <c r="C125" s="32" t="s">
        <v>32</v>
      </c>
      <c r="D125" s="13">
        <f>(D6*5)</f>
        <v>3875</v>
      </c>
      <c r="E125" s="32" t="s">
        <v>560</v>
      </c>
      <c r="F125" s="13">
        <f>(F6*5)</f>
        <v>3300</v>
      </c>
      <c r="G125" s="41">
        <v>24</v>
      </c>
      <c r="H125" s="41">
        <v>24</v>
      </c>
    </row>
    <row r="126" spans="1:8" s="7" customFormat="1" ht="24" customHeight="1">
      <c r="A126" s="35" t="s">
        <v>771</v>
      </c>
      <c r="B126" s="8" t="s">
        <v>86</v>
      </c>
      <c r="C126" s="9"/>
      <c r="D126" s="10"/>
      <c r="E126" s="15"/>
      <c r="F126" s="10"/>
      <c r="G126" s="41">
        <v>25</v>
      </c>
      <c r="H126" s="41">
        <v>25</v>
      </c>
    </row>
    <row r="127" spans="1:8" ht="24" customHeight="1">
      <c r="A127" s="31" t="s">
        <v>99</v>
      </c>
      <c r="B127" s="3" t="s">
        <v>102</v>
      </c>
      <c r="C127" s="32" t="s">
        <v>34</v>
      </c>
      <c r="D127" s="13">
        <f>(D6*60.00004)</f>
        <v>46500.030999999995</v>
      </c>
      <c r="E127" s="32" t="s">
        <v>424</v>
      </c>
      <c r="F127" s="13">
        <f>(F6*60)</f>
        <v>39600</v>
      </c>
      <c r="G127" s="41">
        <v>26</v>
      </c>
      <c r="H127" s="41">
        <v>26</v>
      </c>
    </row>
    <row r="128" spans="1:8" ht="24" customHeight="1">
      <c r="A128" s="31" t="s">
        <v>100</v>
      </c>
      <c r="B128" s="3" t="s">
        <v>103</v>
      </c>
      <c r="C128" s="32" t="s">
        <v>34</v>
      </c>
      <c r="D128" s="13">
        <f>(D6*6)</f>
        <v>4650</v>
      </c>
      <c r="E128" s="32" t="s">
        <v>561</v>
      </c>
      <c r="F128" s="13">
        <f>(F6*6)</f>
        <v>3960</v>
      </c>
      <c r="G128" s="41">
        <v>27</v>
      </c>
      <c r="H128" s="41">
        <v>27</v>
      </c>
    </row>
    <row r="129" spans="7:8" ht="24" customHeight="1">
      <c r="G129" s="41">
        <v>28</v>
      </c>
      <c r="H129" s="41">
        <v>28</v>
      </c>
    </row>
    <row r="130" spans="7:8" ht="24" customHeight="1">
      <c r="G130" s="41">
        <v>29</v>
      </c>
      <c r="H130" s="41">
        <v>29</v>
      </c>
    </row>
    <row r="131" spans="7:8" ht="24" customHeight="1">
      <c r="G131" s="41">
        <v>30</v>
      </c>
      <c r="H131" s="41">
        <v>30</v>
      </c>
    </row>
    <row r="132" spans="7:8" ht="24" customHeight="1">
      <c r="G132" s="41">
        <v>31</v>
      </c>
      <c r="H132" s="41">
        <v>31</v>
      </c>
    </row>
    <row r="133" spans="7:8" ht="24" customHeight="1">
      <c r="G133" s="41">
        <v>32</v>
      </c>
      <c r="H133" s="41">
        <v>32</v>
      </c>
    </row>
    <row r="134" spans="7:8" ht="24" customHeight="1">
      <c r="G134" s="41">
        <v>32</v>
      </c>
      <c r="H134" s="41">
        <v>32</v>
      </c>
    </row>
    <row r="135" ht="24" customHeight="1">
      <c r="E135" s="54" t="s">
        <v>214</v>
      </c>
    </row>
    <row r="136" spans="1:8" ht="24" customHeight="1">
      <c r="A136" s="34" t="s">
        <v>516</v>
      </c>
      <c r="B136" s="22"/>
      <c r="C136" s="2"/>
      <c r="D136" s="12"/>
      <c r="E136" s="21"/>
      <c r="F136" s="12"/>
      <c r="G136" s="41">
        <v>1</v>
      </c>
      <c r="H136" s="41">
        <v>1</v>
      </c>
    </row>
    <row r="137" spans="1:8" s="19" customFormat="1" ht="24" customHeight="1">
      <c r="A137" s="36" t="s">
        <v>105</v>
      </c>
      <c r="B137" s="23" t="s">
        <v>179</v>
      </c>
      <c r="C137" s="24"/>
      <c r="D137" s="25"/>
      <c r="E137" s="26"/>
      <c r="F137" s="25"/>
      <c r="G137" s="41">
        <v>2</v>
      </c>
      <c r="H137" s="41">
        <v>2</v>
      </c>
    </row>
    <row r="138" spans="1:8" s="11" customFormat="1" ht="24" customHeight="1">
      <c r="A138" s="40" t="s">
        <v>776</v>
      </c>
      <c r="B138" s="18" t="s">
        <v>783</v>
      </c>
      <c r="C138" s="18" t="s">
        <v>772</v>
      </c>
      <c r="D138" s="20" t="s">
        <v>773</v>
      </c>
      <c r="E138" s="18" t="s">
        <v>774</v>
      </c>
      <c r="F138" s="20" t="s">
        <v>773</v>
      </c>
      <c r="G138" s="41">
        <v>3</v>
      </c>
      <c r="H138" s="41">
        <v>3</v>
      </c>
    </row>
    <row r="139" spans="1:8" s="7" customFormat="1" ht="24" customHeight="1">
      <c r="A139" s="35" t="s">
        <v>106</v>
      </c>
      <c r="B139" s="8" t="s">
        <v>160</v>
      </c>
      <c r="C139" s="9"/>
      <c r="D139" s="10"/>
      <c r="E139" s="15"/>
      <c r="F139" s="10"/>
      <c r="G139" s="7">
        <v>4</v>
      </c>
      <c r="H139" s="7">
        <v>4</v>
      </c>
    </row>
    <row r="140" spans="1:8" ht="24" customHeight="1">
      <c r="A140" s="31" t="s">
        <v>107</v>
      </c>
      <c r="B140" s="3" t="s">
        <v>111</v>
      </c>
      <c r="C140" s="32" t="s">
        <v>16</v>
      </c>
      <c r="D140" s="13">
        <f>(D6*5.5)</f>
        <v>4262.5</v>
      </c>
      <c r="E140" s="32" t="s">
        <v>254</v>
      </c>
      <c r="F140" s="13">
        <f>(F6*5.5)</f>
        <v>3630</v>
      </c>
      <c r="G140" s="41">
        <v>5</v>
      </c>
      <c r="H140" s="41">
        <v>5</v>
      </c>
    </row>
    <row r="141" spans="1:8" ht="24" customHeight="1">
      <c r="A141" s="31" t="s">
        <v>108</v>
      </c>
      <c r="B141" s="3" t="s">
        <v>112</v>
      </c>
      <c r="C141" s="32" t="s">
        <v>17</v>
      </c>
      <c r="D141" s="13">
        <f>(D6*11)</f>
        <v>8525</v>
      </c>
      <c r="E141" s="32" t="s">
        <v>255</v>
      </c>
      <c r="F141" s="13">
        <f>(F6*11)</f>
        <v>7260</v>
      </c>
      <c r="G141" s="41">
        <v>6</v>
      </c>
      <c r="H141" s="41">
        <v>6</v>
      </c>
    </row>
    <row r="142" spans="1:8" ht="24" customHeight="1">
      <c r="A142" s="31" t="s">
        <v>109</v>
      </c>
      <c r="B142" s="3" t="s">
        <v>113</v>
      </c>
      <c r="C142" s="32" t="s">
        <v>16</v>
      </c>
      <c r="D142" s="13">
        <f>(D6*16.46667)</f>
        <v>12761.66925</v>
      </c>
      <c r="E142" s="32" t="s">
        <v>425</v>
      </c>
      <c r="F142" s="13">
        <f>(F6*16.5)</f>
        <v>10890</v>
      </c>
      <c r="G142" s="41">
        <v>7</v>
      </c>
      <c r="H142" s="41">
        <v>7</v>
      </c>
    </row>
    <row r="143" spans="1:8" ht="24" customHeight="1">
      <c r="A143" s="31" t="s">
        <v>110</v>
      </c>
      <c r="B143" s="3" t="s">
        <v>114</v>
      </c>
      <c r="C143" s="32" t="s">
        <v>16</v>
      </c>
      <c r="D143" s="13">
        <f>(D6*33.00002)</f>
        <v>25575.015499999998</v>
      </c>
      <c r="E143" s="32" t="s">
        <v>426</v>
      </c>
      <c r="F143" s="13">
        <f>(F6*33)</f>
        <v>21780</v>
      </c>
      <c r="G143" s="7">
        <v>8</v>
      </c>
      <c r="H143" s="7">
        <v>8</v>
      </c>
    </row>
    <row r="144" spans="1:8" s="7" customFormat="1" ht="24" customHeight="1">
      <c r="A144" s="35" t="s">
        <v>115</v>
      </c>
      <c r="B144" s="8" t="s">
        <v>157</v>
      </c>
      <c r="C144" s="9"/>
      <c r="D144" s="10"/>
      <c r="E144" s="15"/>
      <c r="F144" s="10"/>
      <c r="G144" s="41">
        <v>9</v>
      </c>
      <c r="H144" s="41">
        <v>9</v>
      </c>
    </row>
    <row r="145" spans="1:8" ht="24" customHeight="1">
      <c r="A145" s="31" t="s">
        <v>116</v>
      </c>
      <c r="B145" s="3" t="s">
        <v>111</v>
      </c>
      <c r="C145" s="32" t="s">
        <v>32</v>
      </c>
      <c r="D145" s="13">
        <f>(D6*2.746666)</f>
        <v>2128.66615</v>
      </c>
      <c r="E145" s="32" t="s">
        <v>253</v>
      </c>
      <c r="F145" s="13">
        <f>(F6*2.75)</f>
        <v>1815</v>
      </c>
      <c r="G145" s="41">
        <v>10</v>
      </c>
      <c r="H145" s="41">
        <v>10</v>
      </c>
    </row>
    <row r="146" spans="1:8" ht="24" customHeight="1">
      <c r="A146" s="31" t="s">
        <v>117</v>
      </c>
      <c r="B146" s="3" t="s">
        <v>112</v>
      </c>
      <c r="C146" s="32" t="s">
        <v>32</v>
      </c>
      <c r="D146" s="13">
        <f>(D6*2.746666*2)</f>
        <v>4257.3323</v>
      </c>
      <c r="E146" s="32" t="s">
        <v>256</v>
      </c>
      <c r="F146" s="13">
        <f>(F6*5.5)</f>
        <v>3630</v>
      </c>
      <c r="G146" s="41">
        <v>11</v>
      </c>
      <c r="H146" s="41">
        <v>11</v>
      </c>
    </row>
    <row r="147" spans="1:8" ht="24" customHeight="1">
      <c r="A147" s="31" t="s">
        <v>118</v>
      </c>
      <c r="B147" s="3" t="s">
        <v>113</v>
      </c>
      <c r="C147" s="32" t="s">
        <v>32</v>
      </c>
      <c r="D147" s="13">
        <f>(D6*8.266666)</f>
        <v>6406.666150000001</v>
      </c>
      <c r="E147" s="32" t="s">
        <v>427</v>
      </c>
      <c r="F147" s="13">
        <f>(F6*8.25)</f>
        <v>5445</v>
      </c>
      <c r="G147" s="7">
        <v>12</v>
      </c>
      <c r="H147" s="7">
        <v>12</v>
      </c>
    </row>
    <row r="148" spans="1:8" ht="24" customHeight="1">
      <c r="A148" s="31" t="s">
        <v>119</v>
      </c>
      <c r="B148" s="3" t="s">
        <v>114</v>
      </c>
      <c r="C148" s="32" t="s">
        <v>32</v>
      </c>
      <c r="D148" s="13">
        <f>(D6*8.26667*2)</f>
        <v>12813.3385</v>
      </c>
      <c r="E148" s="32" t="s">
        <v>562</v>
      </c>
      <c r="F148" s="13">
        <f>(F6*16.5)</f>
        <v>10890</v>
      </c>
      <c r="G148" s="41">
        <v>13</v>
      </c>
      <c r="H148" s="41">
        <v>13</v>
      </c>
    </row>
    <row r="149" spans="1:8" s="7" customFormat="1" ht="24" customHeight="1">
      <c r="A149" s="35" t="s">
        <v>158</v>
      </c>
      <c r="B149" s="8" t="s">
        <v>513</v>
      </c>
      <c r="C149" s="9"/>
      <c r="D149" s="10"/>
      <c r="E149" s="15"/>
      <c r="F149" s="10"/>
      <c r="G149" s="41">
        <v>14</v>
      </c>
      <c r="H149" s="41">
        <v>14</v>
      </c>
    </row>
    <row r="150" spans="1:8" ht="24" customHeight="1">
      <c r="A150" s="31" t="s">
        <v>159</v>
      </c>
      <c r="B150" s="3" t="s">
        <v>111</v>
      </c>
      <c r="C150" s="32" t="s">
        <v>34</v>
      </c>
      <c r="D150" s="13">
        <f>(D6*3)</f>
        <v>2325</v>
      </c>
      <c r="E150" s="32" t="s">
        <v>257</v>
      </c>
      <c r="F150" s="13">
        <f>(F6*3)</f>
        <v>1980</v>
      </c>
      <c r="G150" s="41">
        <v>15</v>
      </c>
      <c r="H150" s="41">
        <v>15</v>
      </c>
    </row>
    <row r="151" spans="1:8" ht="24" customHeight="1">
      <c r="A151" s="31" t="s">
        <v>163</v>
      </c>
      <c r="B151" s="3" t="s">
        <v>112</v>
      </c>
      <c r="C151" s="32" t="s">
        <v>34</v>
      </c>
      <c r="D151" s="13">
        <f>(D6*6.066666)</f>
        <v>4701.66615</v>
      </c>
      <c r="E151" s="32" t="s">
        <v>258</v>
      </c>
      <c r="F151" s="13">
        <f>(F6*6.1)</f>
        <v>4025.9999999999995</v>
      </c>
      <c r="G151" s="7">
        <v>16</v>
      </c>
      <c r="H151" s="7">
        <v>16</v>
      </c>
    </row>
    <row r="152" spans="1:8" ht="24" customHeight="1">
      <c r="A152" s="31" t="s">
        <v>164</v>
      </c>
      <c r="B152" s="3" t="s">
        <v>113</v>
      </c>
      <c r="C152" s="32" t="s">
        <v>34</v>
      </c>
      <c r="D152" s="13">
        <f>(D6*9.2)</f>
        <v>7129.999999999999</v>
      </c>
      <c r="E152" s="32" t="s">
        <v>210</v>
      </c>
      <c r="F152" s="13">
        <f>(F6*9.2)</f>
        <v>6071.999999999999</v>
      </c>
      <c r="G152" s="41">
        <v>17</v>
      </c>
      <c r="H152" s="41">
        <v>17</v>
      </c>
    </row>
    <row r="153" spans="1:8" ht="24" customHeight="1">
      <c r="A153" s="31" t="s">
        <v>165</v>
      </c>
      <c r="B153" s="3" t="s">
        <v>114</v>
      </c>
      <c r="C153" s="32" t="s">
        <v>34</v>
      </c>
      <c r="D153" s="13">
        <f>(D8*18.50002)</f>
        <v>42056.693016646</v>
      </c>
      <c r="E153" s="32" t="s">
        <v>428</v>
      </c>
      <c r="F153" s="13">
        <f>(F8*18.5)</f>
        <v>36630</v>
      </c>
      <c r="G153" s="41">
        <v>18</v>
      </c>
      <c r="H153" s="41">
        <v>18</v>
      </c>
    </row>
    <row r="154" spans="1:8" s="7" customFormat="1" ht="24" customHeight="1">
      <c r="A154" s="35" t="s">
        <v>170</v>
      </c>
      <c r="B154" s="8" t="s">
        <v>166</v>
      </c>
      <c r="C154" s="9"/>
      <c r="D154" s="10"/>
      <c r="E154" s="15"/>
      <c r="F154" s="10"/>
      <c r="G154" s="41">
        <v>19</v>
      </c>
      <c r="H154" s="41">
        <v>19</v>
      </c>
    </row>
    <row r="155" spans="1:8" ht="24" customHeight="1">
      <c r="A155" s="31" t="s">
        <v>171</v>
      </c>
      <c r="B155" s="3" t="s">
        <v>102</v>
      </c>
      <c r="C155" s="32" t="s">
        <v>16</v>
      </c>
      <c r="D155" s="13">
        <f>(D6*200.00011)</f>
        <v>155000.08525</v>
      </c>
      <c r="E155" s="32" t="s">
        <v>429</v>
      </c>
      <c r="F155" s="13">
        <f>(F6*200)</f>
        <v>132000</v>
      </c>
      <c r="G155" s="7">
        <v>20</v>
      </c>
      <c r="H155" s="7">
        <v>20</v>
      </c>
    </row>
    <row r="156" spans="1:8" ht="24" customHeight="1">
      <c r="A156" s="31" t="s">
        <v>172</v>
      </c>
      <c r="B156" s="3" t="s">
        <v>103</v>
      </c>
      <c r="C156" s="32" t="s">
        <v>16</v>
      </c>
      <c r="D156" s="13">
        <f>(D6*30.000019)</f>
        <v>23250.014725</v>
      </c>
      <c r="E156" s="32" t="s">
        <v>430</v>
      </c>
      <c r="F156" s="13">
        <f>(F6*30)</f>
        <v>19800</v>
      </c>
      <c r="G156" s="41">
        <v>21</v>
      </c>
      <c r="H156" s="41">
        <v>21</v>
      </c>
    </row>
    <row r="157" spans="1:8" s="7" customFormat="1" ht="24" customHeight="1">
      <c r="A157" s="35" t="s">
        <v>173</v>
      </c>
      <c r="B157" s="8" t="s">
        <v>168</v>
      </c>
      <c r="C157" s="9"/>
      <c r="D157" s="10"/>
      <c r="E157" s="15"/>
      <c r="F157" s="10"/>
      <c r="G157" s="41">
        <v>22</v>
      </c>
      <c r="H157" s="41">
        <v>22</v>
      </c>
    </row>
    <row r="158" spans="1:8" ht="24" customHeight="1">
      <c r="A158" s="31" t="s">
        <v>174</v>
      </c>
      <c r="B158" s="3" t="s">
        <v>102</v>
      </c>
      <c r="C158" s="32" t="s">
        <v>32</v>
      </c>
      <c r="D158" s="13">
        <f>(D6*100.00006)</f>
        <v>77500.0465</v>
      </c>
      <c r="E158" s="32" t="s">
        <v>431</v>
      </c>
      <c r="F158" s="13">
        <f>(F6*100)</f>
        <v>66000</v>
      </c>
      <c r="G158" s="41">
        <v>23</v>
      </c>
      <c r="H158" s="41">
        <v>23</v>
      </c>
    </row>
    <row r="159" spans="1:8" ht="24" customHeight="1">
      <c r="A159" s="31" t="s">
        <v>175</v>
      </c>
      <c r="B159" s="3" t="s">
        <v>103</v>
      </c>
      <c r="C159" s="32" t="s">
        <v>32</v>
      </c>
      <c r="D159" s="13">
        <f>(D6*20.00001)</f>
        <v>15500.007749999999</v>
      </c>
      <c r="E159" s="32" t="s">
        <v>432</v>
      </c>
      <c r="F159" s="13">
        <f>(F6*20)</f>
        <v>13200</v>
      </c>
      <c r="G159" s="41">
        <v>24</v>
      </c>
      <c r="H159" s="41">
        <v>24</v>
      </c>
    </row>
    <row r="160" spans="1:8" s="7" customFormat="1" ht="24" customHeight="1">
      <c r="A160" s="35" t="s">
        <v>176</v>
      </c>
      <c r="B160" s="8" t="s">
        <v>169</v>
      </c>
      <c r="C160" s="9"/>
      <c r="D160" s="10"/>
      <c r="E160" s="15"/>
      <c r="F160" s="10"/>
      <c r="G160" s="41">
        <v>25</v>
      </c>
      <c r="H160" s="41">
        <v>25</v>
      </c>
    </row>
    <row r="161" spans="1:8" ht="24" customHeight="1">
      <c r="A161" s="31" t="s">
        <v>177</v>
      </c>
      <c r="B161" s="3" t="s">
        <v>102</v>
      </c>
      <c r="C161" s="32" t="s">
        <v>34</v>
      </c>
      <c r="D161" s="13">
        <f>(D6*100.00006)</f>
        <v>77500.0465</v>
      </c>
      <c r="E161" s="32" t="s">
        <v>433</v>
      </c>
      <c r="F161" s="13">
        <f>(F6*100)</f>
        <v>66000</v>
      </c>
      <c r="G161" s="41">
        <v>26</v>
      </c>
      <c r="H161" s="41">
        <v>26</v>
      </c>
    </row>
    <row r="162" spans="1:8" ht="24" customHeight="1">
      <c r="A162" s="31" t="s">
        <v>178</v>
      </c>
      <c r="B162" s="3" t="s">
        <v>103</v>
      </c>
      <c r="C162" s="32" t="s">
        <v>34</v>
      </c>
      <c r="D162" s="13">
        <f>(D6*20.00001)</f>
        <v>15500.007749999999</v>
      </c>
      <c r="E162" s="32" t="s">
        <v>434</v>
      </c>
      <c r="F162" s="13">
        <f>(F6*20)</f>
        <v>13200</v>
      </c>
      <c r="G162" s="41">
        <v>27</v>
      </c>
      <c r="H162" s="41">
        <v>27</v>
      </c>
    </row>
    <row r="163" spans="1:8" s="7" customFormat="1" ht="24" customHeight="1">
      <c r="A163" s="35" t="s">
        <v>180</v>
      </c>
      <c r="B163" s="8" t="s">
        <v>181</v>
      </c>
      <c r="C163" s="9"/>
      <c r="D163" s="10"/>
      <c r="E163" s="15"/>
      <c r="F163" s="10"/>
      <c r="G163" s="41">
        <v>28</v>
      </c>
      <c r="H163" s="41">
        <v>28</v>
      </c>
    </row>
    <row r="164" spans="1:8" ht="24" customHeight="1">
      <c r="A164" s="31" t="s">
        <v>182</v>
      </c>
      <c r="B164" s="3" t="s">
        <v>183</v>
      </c>
      <c r="C164" s="32" t="s">
        <v>184</v>
      </c>
      <c r="D164" s="13">
        <f>(D6*2)</f>
        <v>1550</v>
      </c>
      <c r="E164" s="32" t="s">
        <v>259</v>
      </c>
      <c r="F164" s="13">
        <f>(F6*2)</f>
        <v>1320</v>
      </c>
      <c r="G164" s="41">
        <v>29</v>
      </c>
      <c r="H164" s="41">
        <v>29</v>
      </c>
    </row>
    <row r="165" spans="7:8" ht="24" customHeight="1">
      <c r="G165" s="41">
        <v>30</v>
      </c>
      <c r="H165" s="41">
        <v>30</v>
      </c>
    </row>
    <row r="166" spans="7:8" ht="24" customHeight="1">
      <c r="G166" s="41">
        <v>31</v>
      </c>
      <c r="H166" s="41">
        <v>31</v>
      </c>
    </row>
    <row r="168" spans="7:8" ht="24" customHeight="1">
      <c r="G168" s="41">
        <v>32</v>
      </c>
      <c r="H168" s="41">
        <v>32</v>
      </c>
    </row>
    <row r="169" ht="24" customHeight="1">
      <c r="E169" s="54" t="s">
        <v>219</v>
      </c>
    </row>
    <row r="170" spans="1:8" ht="24" customHeight="1">
      <c r="A170" s="34" t="s">
        <v>516</v>
      </c>
      <c r="B170" s="22"/>
      <c r="C170" s="2"/>
      <c r="D170" s="12"/>
      <c r="E170" s="21"/>
      <c r="F170" s="12"/>
      <c r="G170" s="41">
        <v>1</v>
      </c>
      <c r="H170" s="41">
        <v>1</v>
      </c>
    </row>
    <row r="171" spans="1:8" s="19" customFormat="1" ht="24" customHeight="1">
      <c r="A171" s="36" t="s">
        <v>185</v>
      </c>
      <c r="B171" s="23" t="s">
        <v>186</v>
      </c>
      <c r="C171" s="24"/>
      <c r="D171" s="25"/>
      <c r="E171" s="26"/>
      <c r="F171" s="25"/>
      <c r="G171" s="41">
        <v>2</v>
      </c>
      <c r="H171" s="41">
        <v>2</v>
      </c>
    </row>
    <row r="172" spans="1:8" s="11" customFormat="1" ht="24" customHeight="1">
      <c r="A172" s="40" t="s">
        <v>776</v>
      </c>
      <c r="B172" s="18" t="s">
        <v>783</v>
      </c>
      <c r="C172" s="18" t="s">
        <v>772</v>
      </c>
      <c r="D172" s="20" t="s">
        <v>773</v>
      </c>
      <c r="E172" s="18" t="s">
        <v>774</v>
      </c>
      <c r="F172" s="20" t="s">
        <v>773</v>
      </c>
      <c r="G172" s="41">
        <v>3</v>
      </c>
      <c r="H172" s="41">
        <v>3</v>
      </c>
    </row>
    <row r="173" spans="1:8" s="7" customFormat="1" ht="24" customHeight="1">
      <c r="A173" s="35" t="s">
        <v>187</v>
      </c>
      <c r="B173" s="8" t="s">
        <v>206</v>
      </c>
      <c r="C173" s="9"/>
      <c r="D173" s="10"/>
      <c r="E173" s="15"/>
      <c r="F173" s="10"/>
      <c r="G173" s="7">
        <v>4</v>
      </c>
      <c r="H173" s="7">
        <v>4</v>
      </c>
    </row>
    <row r="174" spans="1:8" ht="24" customHeight="1">
      <c r="A174" s="31" t="s">
        <v>188</v>
      </c>
      <c r="B174" s="3" t="s">
        <v>207</v>
      </c>
      <c r="C174" s="32" t="s">
        <v>16</v>
      </c>
      <c r="D174" s="13">
        <f>(D6*15.00001)</f>
        <v>11625.007749999999</v>
      </c>
      <c r="E174" s="32" t="s">
        <v>223</v>
      </c>
      <c r="F174" s="13">
        <f>(F6*15)</f>
        <v>9900</v>
      </c>
      <c r="G174" s="41">
        <v>5</v>
      </c>
      <c r="H174" s="41">
        <v>5</v>
      </c>
    </row>
    <row r="175" spans="1:8" ht="24" customHeight="1">
      <c r="A175" s="31" t="s">
        <v>189</v>
      </c>
      <c r="B175" s="3" t="s">
        <v>208</v>
      </c>
      <c r="C175" s="32" t="s">
        <v>17</v>
      </c>
      <c r="D175" s="13">
        <f>(D6*20.00001)</f>
        <v>15500.007749999999</v>
      </c>
      <c r="E175" s="32" t="s">
        <v>224</v>
      </c>
      <c r="F175" s="13">
        <f>(F6*20)</f>
        <v>13200</v>
      </c>
      <c r="G175" s="41">
        <v>6</v>
      </c>
      <c r="H175" s="41">
        <v>6</v>
      </c>
    </row>
    <row r="176" spans="1:8" ht="24" customHeight="1">
      <c r="A176" s="31" t="s">
        <v>190</v>
      </c>
      <c r="B176" s="3" t="s">
        <v>209</v>
      </c>
      <c r="C176" s="32" t="s">
        <v>16</v>
      </c>
      <c r="D176" s="13">
        <f>(D6*25.00001)</f>
        <v>19375.00775</v>
      </c>
      <c r="E176" s="32" t="s">
        <v>225</v>
      </c>
      <c r="F176" s="13">
        <f>(F6*25)</f>
        <v>16500</v>
      </c>
      <c r="G176" s="41">
        <v>7</v>
      </c>
      <c r="H176" s="41">
        <v>7</v>
      </c>
    </row>
    <row r="177" spans="1:8" ht="24" customHeight="1">
      <c r="A177" s="31" t="s">
        <v>191</v>
      </c>
      <c r="B177" s="3" t="s">
        <v>209</v>
      </c>
      <c r="C177" s="32" t="s">
        <v>16</v>
      </c>
      <c r="D177" s="13">
        <f>(D6*30.00002)</f>
        <v>23250.015499999998</v>
      </c>
      <c r="E177" s="32" t="s">
        <v>226</v>
      </c>
      <c r="F177" s="13">
        <f>(F6*30)</f>
        <v>19800</v>
      </c>
      <c r="G177" s="7">
        <v>8</v>
      </c>
      <c r="H177" s="7">
        <v>8</v>
      </c>
    </row>
    <row r="178" spans="1:8" s="7" customFormat="1" ht="24" customHeight="1">
      <c r="A178" s="35" t="s">
        <v>192</v>
      </c>
      <c r="B178" s="8" t="s">
        <v>563</v>
      </c>
      <c r="C178" s="9"/>
      <c r="D178" s="10"/>
      <c r="E178" s="15"/>
      <c r="F178" s="10"/>
      <c r="G178" s="41">
        <v>9</v>
      </c>
      <c r="H178" s="41">
        <v>9</v>
      </c>
    </row>
    <row r="179" spans="1:8" ht="24" customHeight="1">
      <c r="A179" s="31" t="s">
        <v>193</v>
      </c>
      <c r="B179" s="3" t="s">
        <v>207</v>
      </c>
      <c r="C179" s="32" t="s">
        <v>32</v>
      </c>
      <c r="D179" s="13">
        <f>(D6*15*0.3)</f>
        <v>3487.5</v>
      </c>
      <c r="E179" s="32" t="s">
        <v>564</v>
      </c>
      <c r="F179" s="13">
        <f>(F6*15*0.3)</f>
        <v>2970</v>
      </c>
      <c r="G179" s="41">
        <v>10</v>
      </c>
      <c r="H179" s="41">
        <v>10</v>
      </c>
    </row>
    <row r="180" spans="1:8" ht="24" customHeight="1">
      <c r="A180" s="31" t="s">
        <v>194</v>
      </c>
      <c r="B180" s="3" t="s">
        <v>208</v>
      </c>
      <c r="C180" s="32" t="s">
        <v>32</v>
      </c>
      <c r="D180" s="13">
        <f>(D6*20*0.3)</f>
        <v>4650</v>
      </c>
      <c r="E180" s="32" t="s">
        <v>565</v>
      </c>
      <c r="F180" s="13">
        <f>(F6*20*0.3)</f>
        <v>3960</v>
      </c>
      <c r="G180" s="41">
        <v>11</v>
      </c>
      <c r="H180" s="41">
        <v>11</v>
      </c>
    </row>
    <row r="181" spans="1:8" ht="24" customHeight="1">
      <c r="A181" s="31" t="s">
        <v>195</v>
      </c>
      <c r="B181" s="3" t="s">
        <v>209</v>
      </c>
      <c r="C181" s="32" t="s">
        <v>32</v>
      </c>
      <c r="D181" s="13">
        <f>(D6*25*0.3)</f>
        <v>5812.5</v>
      </c>
      <c r="E181" s="32" t="s">
        <v>566</v>
      </c>
      <c r="F181" s="13">
        <f>(F6*25*0.3)</f>
        <v>4950</v>
      </c>
      <c r="G181" s="7">
        <v>12</v>
      </c>
      <c r="H181" s="7">
        <v>12</v>
      </c>
    </row>
    <row r="182" spans="1:8" ht="24" customHeight="1">
      <c r="A182" s="31" t="s">
        <v>196</v>
      </c>
      <c r="B182" s="3" t="s">
        <v>209</v>
      </c>
      <c r="C182" s="32" t="s">
        <v>32</v>
      </c>
      <c r="D182" s="13">
        <f>(D6*30*0.3)</f>
        <v>6975</v>
      </c>
      <c r="E182" s="32" t="s">
        <v>567</v>
      </c>
      <c r="F182" s="13">
        <f>(F6*30*0.3)</f>
        <v>5940</v>
      </c>
      <c r="G182" s="41">
        <v>13</v>
      </c>
      <c r="H182" s="41">
        <v>13</v>
      </c>
    </row>
    <row r="183" spans="1:8" s="7" customFormat="1" ht="24" customHeight="1">
      <c r="A183" s="35" t="s">
        <v>197</v>
      </c>
      <c r="B183" s="8" t="s">
        <v>489</v>
      </c>
      <c r="C183" s="9"/>
      <c r="D183" s="10"/>
      <c r="E183" s="15"/>
      <c r="F183" s="10"/>
      <c r="G183" s="41">
        <v>14</v>
      </c>
      <c r="H183" s="41">
        <v>14</v>
      </c>
    </row>
    <row r="184" spans="1:8" ht="24" customHeight="1">
      <c r="A184" s="31" t="s">
        <v>198</v>
      </c>
      <c r="B184" s="3" t="s">
        <v>207</v>
      </c>
      <c r="C184" s="32" t="s">
        <v>34</v>
      </c>
      <c r="D184" s="13">
        <f>(D6*15*0.6)</f>
        <v>6975</v>
      </c>
      <c r="E184" s="32" t="s">
        <v>490</v>
      </c>
      <c r="F184" s="13">
        <f>(F6*15*0.6)</f>
        <v>5940</v>
      </c>
      <c r="G184" s="41">
        <v>15</v>
      </c>
      <c r="H184" s="41">
        <v>15</v>
      </c>
    </row>
    <row r="185" spans="1:8" ht="24" customHeight="1">
      <c r="A185" s="31" t="s">
        <v>199</v>
      </c>
      <c r="B185" s="3" t="s">
        <v>208</v>
      </c>
      <c r="C185" s="32" t="s">
        <v>34</v>
      </c>
      <c r="D185" s="13">
        <f>(D6*20*0.6000001)</f>
        <v>9300.00155</v>
      </c>
      <c r="E185" s="32" t="s">
        <v>227</v>
      </c>
      <c r="F185" s="13">
        <f>(F6*20*0.6)</f>
        <v>7920</v>
      </c>
      <c r="G185" s="7">
        <v>16</v>
      </c>
      <c r="H185" s="7">
        <v>16</v>
      </c>
    </row>
    <row r="186" spans="1:8" ht="24" customHeight="1">
      <c r="A186" s="31" t="s">
        <v>200</v>
      </c>
      <c r="B186" s="3" t="s">
        <v>209</v>
      </c>
      <c r="C186" s="32" t="s">
        <v>34</v>
      </c>
      <c r="D186" s="13">
        <f>(D6*25*0.6000001)</f>
        <v>11625.001937500001</v>
      </c>
      <c r="E186" s="32" t="s">
        <v>228</v>
      </c>
      <c r="F186" s="13">
        <f>(F6*25*0.6)</f>
        <v>9900</v>
      </c>
      <c r="G186" s="41">
        <v>17</v>
      </c>
      <c r="H186" s="41">
        <v>17</v>
      </c>
    </row>
    <row r="187" spans="1:8" ht="24" customHeight="1">
      <c r="A187" s="31" t="s">
        <v>201</v>
      </c>
      <c r="B187" s="3" t="s">
        <v>209</v>
      </c>
      <c r="C187" s="32" t="s">
        <v>34</v>
      </c>
      <c r="D187" s="13">
        <f>(D6*30*0.6000002)</f>
        <v>13950.004649999999</v>
      </c>
      <c r="E187" s="32" t="s">
        <v>229</v>
      </c>
      <c r="F187" s="13">
        <f>(F6*30*0.6)</f>
        <v>11880</v>
      </c>
      <c r="G187" s="41">
        <v>18</v>
      </c>
      <c r="H187" s="41">
        <v>18</v>
      </c>
    </row>
    <row r="188" spans="1:8" s="7" customFormat="1" ht="24" customHeight="1">
      <c r="A188" s="35" t="s">
        <v>202</v>
      </c>
      <c r="B188" s="8" t="s">
        <v>492</v>
      </c>
      <c r="C188" s="9"/>
      <c r="D188" s="10"/>
      <c r="E188" s="15"/>
      <c r="F188" s="10"/>
      <c r="G188" s="41">
        <v>19</v>
      </c>
      <c r="H188" s="41">
        <v>19</v>
      </c>
    </row>
    <row r="189" spans="1:8" ht="24" customHeight="1">
      <c r="A189" s="31" t="s">
        <v>203</v>
      </c>
      <c r="B189" s="3" t="s">
        <v>491</v>
      </c>
      <c r="C189" s="32" t="s">
        <v>16</v>
      </c>
      <c r="D189" s="13">
        <f>(D6*6)</f>
        <v>4650</v>
      </c>
      <c r="E189" s="32" t="s">
        <v>568</v>
      </c>
      <c r="F189" s="13">
        <f>(F6*6)</f>
        <v>3960</v>
      </c>
      <c r="G189" s="7">
        <v>20</v>
      </c>
      <c r="H189" s="7">
        <v>20</v>
      </c>
    </row>
    <row r="190" spans="1:8" s="7" customFormat="1" ht="24" customHeight="1">
      <c r="A190" s="35" t="s">
        <v>204</v>
      </c>
      <c r="B190" s="8" t="s">
        <v>493</v>
      </c>
      <c r="C190" s="9"/>
      <c r="D190" s="10"/>
      <c r="E190" s="15"/>
      <c r="F190" s="10"/>
      <c r="G190" s="41">
        <v>21</v>
      </c>
      <c r="H190" s="41">
        <v>21</v>
      </c>
    </row>
    <row r="191" spans="1:8" ht="24" customHeight="1">
      <c r="A191" s="31" t="s">
        <v>205</v>
      </c>
      <c r="B191" s="3" t="s">
        <v>491</v>
      </c>
      <c r="C191" s="32" t="s">
        <v>32</v>
      </c>
      <c r="D191" s="13">
        <f>(D6*3)</f>
        <v>2325</v>
      </c>
      <c r="E191" s="32" t="s">
        <v>569</v>
      </c>
      <c r="F191" s="13">
        <f>(F6*3)</f>
        <v>1980</v>
      </c>
      <c r="G191" s="41">
        <v>22</v>
      </c>
      <c r="H191" s="41">
        <v>22</v>
      </c>
    </row>
    <row r="192" spans="1:8" s="5" customFormat="1" ht="24" customHeight="1">
      <c r="A192" s="65"/>
      <c r="B192" s="60"/>
      <c r="C192" s="61"/>
      <c r="D192" s="62"/>
      <c r="E192" s="66"/>
      <c r="F192" s="62"/>
      <c r="G192" s="63"/>
      <c r="H192" s="63"/>
    </row>
    <row r="193" spans="1:8" s="2" customFormat="1" ht="24" customHeight="1">
      <c r="A193" s="49"/>
      <c r="B193" s="50"/>
      <c r="C193" s="51"/>
      <c r="D193" s="12"/>
      <c r="E193" s="51"/>
      <c r="F193" s="12"/>
      <c r="G193" s="63"/>
      <c r="H193" s="63"/>
    </row>
    <row r="194" spans="7:8" ht="24" customHeight="1">
      <c r="G194" s="41">
        <v>25</v>
      </c>
      <c r="H194" s="41">
        <v>25</v>
      </c>
    </row>
    <row r="195" spans="7:8" ht="24" customHeight="1">
      <c r="G195" s="41">
        <v>26</v>
      </c>
      <c r="H195" s="41">
        <v>26</v>
      </c>
    </row>
    <row r="196" spans="7:8" ht="24" customHeight="1">
      <c r="G196" s="41">
        <v>27</v>
      </c>
      <c r="H196" s="41">
        <v>27</v>
      </c>
    </row>
    <row r="197" spans="7:8" ht="24" customHeight="1">
      <c r="G197" s="41">
        <v>28</v>
      </c>
      <c r="H197" s="41">
        <v>28</v>
      </c>
    </row>
    <row r="198" spans="7:8" ht="24" customHeight="1">
      <c r="G198" s="41">
        <v>29</v>
      </c>
      <c r="H198" s="41">
        <v>29</v>
      </c>
    </row>
    <row r="199" spans="7:8" ht="24" customHeight="1">
      <c r="G199" s="41">
        <v>30</v>
      </c>
      <c r="H199" s="41">
        <v>30</v>
      </c>
    </row>
    <row r="200" spans="7:8" ht="24" customHeight="1">
      <c r="G200" s="41">
        <v>31</v>
      </c>
      <c r="H200" s="41">
        <v>31</v>
      </c>
    </row>
    <row r="201" spans="7:8" ht="24" customHeight="1">
      <c r="G201" s="41">
        <v>32</v>
      </c>
      <c r="H201" s="41">
        <v>32</v>
      </c>
    </row>
    <row r="203" ht="24" customHeight="1">
      <c r="E203" s="54" t="s">
        <v>220</v>
      </c>
    </row>
    <row r="204" spans="1:8" ht="24" customHeight="1">
      <c r="A204" s="34" t="s">
        <v>516</v>
      </c>
      <c r="B204" s="22"/>
      <c r="C204" s="2"/>
      <c r="D204" s="12"/>
      <c r="E204" s="21"/>
      <c r="F204" s="12"/>
      <c r="G204" s="41">
        <v>1</v>
      </c>
      <c r="H204" s="41">
        <v>1</v>
      </c>
    </row>
    <row r="205" spans="1:8" s="19" customFormat="1" ht="24" customHeight="1">
      <c r="A205" s="36" t="s">
        <v>185</v>
      </c>
      <c r="B205" s="23" t="s">
        <v>186</v>
      </c>
      <c r="C205" s="24"/>
      <c r="D205" s="25"/>
      <c r="E205" s="26"/>
      <c r="F205" s="25"/>
      <c r="G205" s="41">
        <v>2</v>
      </c>
      <c r="H205" s="41">
        <v>2</v>
      </c>
    </row>
    <row r="206" spans="1:8" s="11" customFormat="1" ht="24" customHeight="1">
      <c r="A206" s="40" t="s">
        <v>776</v>
      </c>
      <c r="B206" s="18" t="s">
        <v>783</v>
      </c>
      <c r="C206" s="18" t="s">
        <v>772</v>
      </c>
      <c r="D206" s="20" t="s">
        <v>773</v>
      </c>
      <c r="E206" s="18" t="s">
        <v>774</v>
      </c>
      <c r="F206" s="20" t="s">
        <v>773</v>
      </c>
      <c r="G206" s="41">
        <v>3</v>
      </c>
      <c r="H206" s="41">
        <v>3</v>
      </c>
    </row>
    <row r="207" spans="1:8" s="7" customFormat="1" ht="24" customHeight="1">
      <c r="A207" s="35" t="s">
        <v>494</v>
      </c>
      <c r="B207" s="8" t="s">
        <v>500</v>
      </c>
      <c r="C207" s="9"/>
      <c r="D207" s="10"/>
      <c r="E207" s="15"/>
      <c r="F207" s="10"/>
      <c r="G207" s="7">
        <v>4</v>
      </c>
      <c r="H207" s="7">
        <v>4</v>
      </c>
    </row>
    <row r="208" spans="1:8" ht="24" customHeight="1">
      <c r="A208" s="31" t="s">
        <v>495</v>
      </c>
      <c r="B208" s="3" t="s">
        <v>497</v>
      </c>
      <c r="C208" s="32" t="s">
        <v>16</v>
      </c>
      <c r="D208" s="13">
        <f>(D6*30.00002)</f>
        <v>23250.015499999998</v>
      </c>
      <c r="E208" s="32" t="s">
        <v>241</v>
      </c>
      <c r="F208" s="13">
        <f>(F6*30)</f>
        <v>19800</v>
      </c>
      <c r="G208" s="41">
        <v>5</v>
      </c>
      <c r="H208" s="41">
        <v>5</v>
      </c>
    </row>
    <row r="209" spans="1:8" ht="24" customHeight="1">
      <c r="A209" s="31" t="s">
        <v>496</v>
      </c>
      <c r="B209" s="3" t="s">
        <v>498</v>
      </c>
      <c r="C209" s="32" t="s">
        <v>17</v>
      </c>
      <c r="D209" s="13">
        <f>(D6*40.00002)</f>
        <v>31000.015499999998</v>
      </c>
      <c r="E209" s="32" t="s">
        <v>242</v>
      </c>
      <c r="F209" s="13">
        <f>(F6*40)</f>
        <v>26400</v>
      </c>
      <c r="G209" s="41">
        <v>6</v>
      </c>
      <c r="H209" s="41">
        <v>6</v>
      </c>
    </row>
    <row r="210" spans="1:8" s="7" customFormat="1" ht="24" customHeight="1">
      <c r="A210" s="35" t="s">
        <v>501</v>
      </c>
      <c r="B210" s="8" t="s">
        <v>499</v>
      </c>
      <c r="C210" s="9"/>
      <c r="D210" s="10"/>
      <c r="E210" s="15"/>
      <c r="F210" s="10"/>
      <c r="G210" s="41">
        <v>7</v>
      </c>
      <c r="H210" s="41">
        <v>7</v>
      </c>
    </row>
    <row r="211" spans="1:8" ht="24" customHeight="1">
      <c r="A211" s="31" t="s">
        <v>502</v>
      </c>
      <c r="B211" s="3" t="s">
        <v>497</v>
      </c>
      <c r="C211" s="32" t="s">
        <v>32</v>
      </c>
      <c r="D211" s="13">
        <f>(D6*15.00001)</f>
        <v>11625.007749999999</v>
      </c>
      <c r="E211" s="32" t="s">
        <v>243</v>
      </c>
      <c r="F211" s="13">
        <f>(F6*15)</f>
        <v>9900</v>
      </c>
      <c r="G211" s="7">
        <v>8</v>
      </c>
      <c r="H211" s="7">
        <v>8</v>
      </c>
    </row>
    <row r="212" spans="1:8" ht="24" customHeight="1">
      <c r="A212" s="31" t="s">
        <v>503</v>
      </c>
      <c r="B212" s="3" t="s">
        <v>498</v>
      </c>
      <c r="C212" s="32" t="s">
        <v>32</v>
      </c>
      <c r="D212" s="13">
        <f>(D6*20.00001)</f>
        <v>15500.007749999999</v>
      </c>
      <c r="E212" s="32" t="s">
        <v>244</v>
      </c>
      <c r="F212" s="13">
        <f>(F6*20)</f>
        <v>13200</v>
      </c>
      <c r="G212" s="41">
        <v>9</v>
      </c>
      <c r="H212" s="41">
        <v>9</v>
      </c>
    </row>
    <row r="213" spans="1:8" s="7" customFormat="1" ht="24" customHeight="1">
      <c r="A213" s="35" t="s">
        <v>505</v>
      </c>
      <c r="B213" s="8" t="s">
        <v>504</v>
      </c>
      <c r="C213" s="9"/>
      <c r="D213" s="10"/>
      <c r="E213" s="15"/>
      <c r="F213" s="10"/>
      <c r="G213" s="41">
        <v>10</v>
      </c>
      <c r="H213" s="41">
        <v>10</v>
      </c>
    </row>
    <row r="214" spans="1:8" ht="24" customHeight="1">
      <c r="A214" s="31" t="s">
        <v>506</v>
      </c>
      <c r="B214" s="3" t="s">
        <v>510</v>
      </c>
      <c r="C214" s="32" t="s">
        <v>16</v>
      </c>
      <c r="D214" s="13">
        <f>(D6*15.00001)</f>
        <v>11625.007749999999</v>
      </c>
      <c r="E214" s="32" t="s">
        <v>245</v>
      </c>
      <c r="F214" s="13">
        <f>(F6*15)</f>
        <v>9900</v>
      </c>
      <c r="G214" s="41">
        <v>11</v>
      </c>
      <c r="H214" s="41">
        <v>11</v>
      </c>
    </row>
    <row r="215" spans="1:8" ht="24" customHeight="1">
      <c r="A215" s="31" t="s">
        <v>507</v>
      </c>
      <c r="B215" s="3" t="s">
        <v>511</v>
      </c>
      <c r="C215" s="32" t="s">
        <v>17</v>
      </c>
      <c r="D215" s="13">
        <f>(D6*20.00001)</f>
        <v>15500.007749999999</v>
      </c>
      <c r="E215" s="32" t="s">
        <v>246</v>
      </c>
      <c r="F215" s="13">
        <f>(F6*20)</f>
        <v>13200</v>
      </c>
      <c r="G215" s="7">
        <v>12</v>
      </c>
      <c r="H215" s="7">
        <v>12</v>
      </c>
    </row>
    <row r="216" spans="1:8" ht="24" customHeight="1">
      <c r="A216" s="31" t="s">
        <v>508</v>
      </c>
      <c r="B216" s="3" t="s">
        <v>518</v>
      </c>
      <c r="C216" s="32" t="s">
        <v>17</v>
      </c>
      <c r="D216" s="13">
        <f>(D6*30.00002)</f>
        <v>23250.015499999998</v>
      </c>
      <c r="E216" s="32" t="s">
        <v>247</v>
      </c>
      <c r="F216" s="13">
        <f>(F6*30)</f>
        <v>19800</v>
      </c>
      <c r="G216" s="41">
        <v>13</v>
      </c>
      <c r="H216" s="41">
        <v>13</v>
      </c>
    </row>
    <row r="217" spans="1:8" ht="24" customHeight="1">
      <c r="A217" s="31" t="s">
        <v>509</v>
      </c>
      <c r="B217" s="3" t="s">
        <v>519</v>
      </c>
      <c r="C217" s="32" t="s">
        <v>17</v>
      </c>
      <c r="D217" s="13">
        <f>(D6*40.00002)</f>
        <v>31000.015499999998</v>
      </c>
      <c r="E217" s="32" t="s">
        <v>248</v>
      </c>
      <c r="F217" s="13">
        <f>(F6*40)</f>
        <v>26400</v>
      </c>
      <c r="G217" s="41">
        <v>14</v>
      </c>
      <c r="H217" s="41">
        <v>14</v>
      </c>
    </row>
    <row r="218" spans="1:8" s="7" customFormat="1" ht="24" customHeight="1">
      <c r="A218" s="35" t="s">
        <v>520</v>
      </c>
      <c r="B218" s="8" t="s">
        <v>526</v>
      </c>
      <c r="C218" s="9"/>
      <c r="D218" s="10"/>
      <c r="E218" s="15"/>
      <c r="F218" s="10"/>
      <c r="G218" s="41">
        <v>15</v>
      </c>
      <c r="H218" s="41">
        <v>15</v>
      </c>
    </row>
    <row r="219" spans="1:8" ht="24" customHeight="1">
      <c r="A219" s="31" t="s">
        <v>521</v>
      </c>
      <c r="B219" s="3" t="s">
        <v>510</v>
      </c>
      <c r="C219" s="32" t="s">
        <v>32</v>
      </c>
      <c r="D219" s="13">
        <f>(D6*8)</f>
        <v>6200</v>
      </c>
      <c r="E219" s="32" t="s">
        <v>525</v>
      </c>
      <c r="F219" s="13">
        <f>(F6*8)</f>
        <v>5280</v>
      </c>
      <c r="G219" s="7">
        <v>16</v>
      </c>
      <c r="H219" s="7">
        <v>16</v>
      </c>
    </row>
    <row r="220" spans="1:8" ht="24" customHeight="1">
      <c r="A220" s="31" t="s">
        <v>522</v>
      </c>
      <c r="B220" s="3" t="s">
        <v>511</v>
      </c>
      <c r="C220" s="32" t="s">
        <v>32</v>
      </c>
      <c r="D220" s="13">
        <f>(D6*10)</f>
        <v>7750</v>
      </c>
      <c r="E220" s="32" t="s">
        <v>570</v>
      </c>
      <c r="F220" s="13">
        <f>(F6*10)</f>
        <v>6600</v>
      </c>
      <c r="G220" s="41">
        <v>17</v>
      </c>
      <c r="H220" s="41">
        <v>17</v>
      </c>
    </row>
    <row r="221" spans="1:8" ht="24" customHeight="1">
      <c r="A221" s="31" t="s">
        <v>523</v>
      </c>
      <c r="B221" s="3" t="s">
        <v>518</v>
      </c>
      <c r="C221" s="32" t="s">
        <v>32</v>
      </c>
      <c r="D221" s="13">
        <f>(D6*15.00001)</f>
        <v>11625.007749999999</v>
      </c>
      <c r="E221" s="32" t="s">
        <v>249</v>
      </c>
      <c r="F221" s="13">
        <f>(F6*15)</f>
        <v>9900</v>
      </c>
      <c r="G221" s="41">
        <v>18</v>
      </c>
      <c r="H221" s="41">
        <v>18</v>
      </c>
    </row>
    <row r="222" spans="1:8" ht="24" customHeight="1">
      <c r="A222" s="31" t="s">
        <v>524</v>
      </c>
      <c r="B222" s="3" t="s">
        <v>519</v>
      </c>
      <c r="C222" s="32" t="s">
        <v>32</v>
      </c>
      <c r="D222" s="13">
        <f>(D6*20.00001)</f>
        <v>15500.007749999999</v>
      </c>
      <c r="E222" s="32" t="s">
        <v>250</v>
      </c>
      <c r="F222" s="13">
        <f>(F6*20)</f>
        <v>13200</v>
      </c>
      <c r="G222" s="41">
        <v>19</v>
      </c>
      <c r="H222" s="41">
        <v>19</v>
      </c>
    </row>
    <row r="223" spans="1:8" s="7" customFormat="1" ht="24" customHeight="1">
      <c r="A223" s="35" t="s">
        <v>527</v>
      </c>
      <c r="B223" s="8" t="s">
        <v>530</v>
      </c>
      <c r="C223" s="9"/>
      <c r="D223" s="10"/>
      <c r="E223" s="15"/>
      <c r="F223" s="10"/>
      <c r="G223" s="7">
        <v>20</v>
      </c>
      <c r="H223" s="7">
        <v>20</v>
      </c>
    </row>
    <row r="224" spans="1:8" ht="24" customHeight="1">
      <c r="A224" s="31" t="s">
        <v>528</v>
      </c>
      <c r="B224" s="3" t="s">
        <v>531</v>
      </c>
      <c r="C224" s="32" t="s">
        <v>17</v>
      </c>
      <c r="D224" s="13">
        <f>(D6*5)</f>
        <v>3875</v>
      </c>
      <c r="E224" s="32" t="s">
        <v>536</v>
      </c>
      <c r="F224" s="13">
        <f>(F6*5)</f>
        <v>3300</v>
      </c>
      <c r="G224" s="41">
        <v>21</v>
      </c>
      <c r="H224" s="41">
        <v>21</v>
      </c>
    </row>
    <row r="225" spans="1:8" ht="24" customHeight="1">
      <c r="A225" s="31" t="s">
        <v>529</v>
      </c>
      <c r="B225" s="3" t="s">
        <v>532</v>
      </c>
      <c r="C225" s="32" t="s">
        <v>17</v>
      </c>
      <c r="D225" s="13">
        <f>(D6*7)</f>
        <v>5425</v>
      </c>
      <c r="E225" s="32" t="s">
        <v>537</v>
      </c>
      <c r="F225" s="13">
        <f>(F6*7)</f>
        <v>4620</v>
      </c>
      <c r="G225" s="41">
        <v>22</v>
      </c>
      <c r="H225" s="41">
        <v>22</v>
      </c>
    </row>
    <row r="226" spans="1:8" s="7" customFormat="1" ht="24" customHeight="1">
      <c r="A226" s="35" t="s">
        <v>533</v>
      </c>
      <c r="B226" s="8" t="s">
        <v>540</v>
      </c>
      <c r="C226" s="9"/>
      <c r="D226" s="10"/>
      <c r="E226" s="15"/>
      <c r="F226" s="10"/>
      <c r="G226" s="41">
        <v>23</v>
      </c>
      <c r="H226" s="41">
        <v>23</v>
      </c>
    </row>
    <row r="227" spans="1:8" ht="24" customHeight="1">
      <c r="A227" s="31" t="s">
        <v>534</v>
      </c>
      <c r="B227" s="3" t="s">
        <v>531</v>
      </c>
      <c r="C227" s="32" t="s">
        <v>32</v>
      </c>
      <c r="D227" s="13">
        <f>(D6*2.5)</f>
        <v>1937.5</v>
      </c>
      <c r="E227" s="32" t="s">
        <v>538</v>
      </c>
      <c r="F227" s="13">
        <f>(F6*2.5)</f>
        <v>1650</v>
      </c>
      <c r="G227" s="41">
        <v>24</v>
      </c>
      <c r="H227" s="41">
        <v>24</v>
      </c>
    </row>
    <row r="228" spans="1:8" ht="24" customHeight="1">
      <c r="A228" s="31" t="s">
        <v>535</v>
      </c>
      <c r="B228" s="3" t="s">
        <v>532</v>
      </c>
      <c r="C228" s="32" t="s">
        <v>32</v>
      </c>
      <c r="D228" s="13">
        <f>(D6*3.5)</f>
        <v>2712.5</v>
      </c>
      <c r="E228" s="32" t="s">
        <v>539</v>
      </c>
      <c r="F228" s="13">
        <f>(F6*3.5)</f>
        <v>2310</v>
      </c>
      <c r="G228" s="41">
        <v>25</v>
      </c>
      <c r="H228" s="41">
        <v>25</v>
      </c>
    </row>
    <row r="229" spans="7:8" ht="24" customHeight="1">
      <c r="G229" s="41">
        <v>26</v>
      </c>
      <c r="H229" s="41">
        <v>26</v>
      </c>
    </row>
    <row r="230" spans="7:8" ht="24" customHeight="1">
      <c r="G230" s="41">
        <v>27</v>
      </c>
      <c r="H230" s="41">
        <v>27</v>
      </c>
    </row>
    <row r="231" spans="7:8" ht="24" customHeight="1">
      <c r="G231" s="41">
        <v>28</v>
      </c>
      <c r="H231" s="41">
        <v>28</v>
      </c>
    </row>
    <row r="232" spans="5:8" ht="24" customHeight="1">
      <c r="E232" s="27"/>
      <c r="G232" s="41">
        <v>29</v>
      </c>
      <c r="H232" s="41">
        <v>29</v>
      </c>
    </row>
    <row r="233" spans="1:8" ht="24" customHeight="1">
      <c r="A233" s="34"/>
      <c r="B233" s="22"/>
      <c r="C233" s="2"/>
      <c r="D233" s="12"/>
      <c r="E233" s="21"/>
      <c r="F233" s="12"/>
      <c r="G233" s="41">
        <v>30</v>
      </c>
      <c r="H233" s="41">
        <v>30</v>
      </c>
    </row>
    <row r="234" spans="1:8" s="19" customFormat="1" ht="24" customHeight="1">
      <c r="A234" s="42"/>
      <c r="B234" s="43"/>
      <c r="C234" s="44"/>
      <c r="D234" s="45"/>
      <c r="E234" s="44"/>
      <c r="F234" s="45"/>
      <c r="G234" s="41">
        <v>31</v>
      </c>
      <c r="H234" s="41">
        <v>31</v>
      </c>
    </row>
    <row r="235" spans="1:8" s="11" customFormat="1" ht="24" customHeight="1">
      <c r="A235" s="46"/>
      <c r="B235" s="47"/>
      <c r="C235" s="47"/>
      <c r="D235" s="48"/>
      <c r="E235" s="47"/>
      <c r="F235" s="48"/>
      <c r="G235" s="41">
        <v>32</v>
      </c>
      <c r="H235" s="41">
        <v>32</v>
      </c>
    </row>
    <row r="236" spans="1:8" s="11" customFormat="1" ht="24" customHeight="1">
      <c r="A236" s="46"/>
      <c r="B236" s="47"/>
      <c r="C236" s="47"/>
      <c r="D236" s="48"/>
      <c r="E236" s="47"/>
      <c r="F236" s="48"/>
      <c r="G236" s="41"/>
      <c r="H236" s="41"/>
    </row>
    <row r="237" ht="24" customHeight="1">
      <c r="E237" s="54" t="s">
        <v>221</v>
      </c>
    </row>
    <row r="238" spans="1:8" ht="24" customHeight="1">
      <c r="A238" s="34" t="s">
        <v>516</v>
      </c>
      <c r="B238" s="22"/>
      <c r="C238" s="2"/>
      <c r="D238" s="12"/>
      <c r="E238" s="21"/>
      <c r="F238" s="12"/>
      <c r="G238" s="41">
        <v>1</v>
      </c>
      <c r="H238" s="41">
        <v>1</v>
      </c>
    </row>
    <row r="239" spans="1:8" ht="24" customHeight="1">
      <c r="A239" s="36" t="s">
        <v>661</v>
      </c>
      <c r="B239" s="23" t="s">
        <v>662</v>
      </c>
      <c r="C239" s="24"/>
      <c r="D239" s="25"/>
      <c r="E239" s="26"/>
      <c r="F239" s="25"/>
      <c r="G239" s="41">
        <v>2</v>
      </c>
      <c r="H239" s="41">
        <v>2</v>
      </c>
    </row>
    <row r="240" spans="1:8" ht="24" customHeight="1">
      <c r="A240" s="40" t="s">
        <v>776</v>
      </c>
      <c r="B240" s="18" t="s">
        <v>783</v>
      </c>
      <c r="C240" s="18" t="s">
        <v>772</v>
      </c>
      <c r="D240" s="20" t="s">
        <v>773</v>
      </c>
      <c r="E240" s="18" t="s">
        <v>774</v>
      </c>
      <c r="F240" s="20" t="s">
        <v>773</v>
      </c>
      <c r="G240" s="41">
        <v>3</v>
      </c>
      <c r="H240" s="41">
        <v>3</v>
      </c>
    </row>
    <row r="241" spans="1:8" ht="24" customHeight="1">
      <c r="A241" s="35" t="s">
        <v>663</v>
      </c>
      <c r="B241" s="8" t="s">
        <v>727</v>
      </c>
      <c r="C241" s="9"/>
      <c r="D241" s="10"/>
      <c r="E241" s="15"/>
      <c r="F241" s="10"/>
      <c r="G241" s="7">
        <v>4</v>
      </c>
      <c r="H241" s="7">
        <v>4</v>
      </c>
    </row>
    <row r="242" spans="1:8" ht="24" customHeight="1">
      <c r="A242" s="31" t="s">
        <v>664</v>
      </c>
      <c r="B242" s="3" t="s">
        <v>666</v>
      </c>
      <c r="C242" s="32" t="s">
        <v>16</v>
      </c>
      <c r="D242" s="13">
        <f>(D6*6)</f>
        <v>4650</v>
      </c>
      <c r="E242" s="32" t="s">
        <v>571</v>
      </c>
      <c r="F242" s="13">
        <f>(F6*6)</f>
        <v>3960</v>
      </c>
      <c r="G242" s="41">
        <v>5</v>
      </c>
      <c r="H242" s="41">
        <v>5</v>
      </c>
    </row>
    <row r="243" spans="1:8" ht="24" customHeight="1">
      <c r="A243" s="31" t="s">
        <v>665</v>
      </c>
      <c r="B243" s="3" t="s">
        <v>678</v>
      </c>
      <c r="C243" s="32" t="s">
        <v>16</v>
      </c>
      <c r="D243" s="13">
        <f>(D6*4)</f>
        <v>3100</v>
      </c>
      <c r="E243" s="32" t="s">
        <v>573</v>
      </c>
      <c r="F243" s="13">
        <f>(F6*4)</f>
        <v>2640</v>
      </c>
      <c r="G243" s="41">
        <v>6</v>
      </c>
      <c r="H243" s="41">
        <v>6</v>
      </c>
    </row>
    <row r="244" spans="1:8" ht="24" customHeight="1">
      <c r="A244" s="31" t="s">
        <v>679</v>
      </c>
      <c r="B244" s="3" t="s">
        <v>683</v>
      </c>
      <c r="C244" s="32" t="s">
        <v>16</v>
      </c>
      <c r="D244" s="13">
        <f>(D6*3)</f>
        <v>2325</v>
      </c>
      <c r="E244" s="32" t="s">
        <v>572</v>
      </c>
      <c r="F244" s="13">
        <f>(F6*3)</f>
        <v>1980</v>
      </c>
      <c r="G244" s="41">
        <v>7</v>
      </c>
      <c r="H244" s="41">
        <v>7</v>
      </c>
    </row>
    <row r="245" spans="1:8" ht="24" customHeight="1">
      <c r="A245" s="31" t="s">
        <v>680</v>
      </c>
      <c r="B245" s="3" t="s">
        <v>684</v>
      </c>
      <c r="C245" s="32" t="s">
        <v>16</v>
      </c>
      <c r="D245" s="13">
        <f>(D6*3)</f>
        <v>2325</v>
      </c>
      <c r="E245" s="32" t="s">
        <v>574</v>
      </c>
      <c r="F245" s="13">
        <f>(F6*3)</f>
        <v>1980</v>
      </c>
      <c r="G245" s="7">
        <v>8</v>
      </c>
      <c r="H245" s="7">
        <v>8</v>
      </c>
    </row>
    <row r="246" spans="1:8" ht="24" customHeight="1">
      <c r="A246" s="31" t="s">
        <v>681</v>
      </c>
      <c r="B246" s="3" t="s">
        <v>685</v>
      </c>
      <c r="C246" s="32" t="s">
        <v>16</v>
      </c>
      <c r="D246" s="13">
        <f>(D6*2.5)</f>
        <v>1937.5</v>
      </c>
      <c r="E246" s="32" t="s">
        <v>575</v>
      </c>
      <c r="F246" s="13">
        <f>(F6*2.5)</f>
        <v>1650</v>
      </c>
      <c r="G246" s="41">
        <v>9</v>
      </c>
      <c r="H246" s="41">
        <v>9</v>
      </c>
    </row>
    <row r="247" spans="1:8" ht="24" customHeight="1">
      <c r="A247" s="31" t="s">
        <v>682</v>
      </c>
      <c r="B247" s="3" t="s">
        <v>692</v>
      </c>
      <c r="C247" s="32" t="s">
        <v>16</v>
      </c>
      <c r="D247" s="13">
        <f>(D6*4.5)</f>
        <v>3487.5</v>
      </c>
      <c r="E247" s="32" t="s">
        <v>577</v>
      </c>
      <c r="F247" s="13">
        <f>(F6*4.5)</f>
        <v>2970</v>
      </c>
      <c r="G247" s="41">
        <v>10</v>
      </c>
      <c r="H247" s="41">
        <v>10</v>
      </c>
    </row>
    <row r="248" spans="1:8" ht="24" customHeight="1">
      <c r="A248" s="31" t="s">
        <v>686</v>
      </c>
      <c r="B248" s="3" t="s">
        <v>693</v>
      </c>
      <c r="C248" s="32" t="s">
        <v>16</v>
      </c>
      <c r="D248" s="13">
        <f>(D6*3)</f>
        <v>2325</v>
      </c>
      <c r="E248" s="32" t="s">
        <v>578</v>
      </c>
      <c r="F248" s="13">
        <f>(F6*3)</f>
        <v>1980</v>
      </c>
      <c r="G248" s="41">
        <v>11</v>
      </c>
      <c r="H248" s="41">
        <v>11</v>
      </c>
    </row>
    <row r="249" spans="1:8" ht="24" customHeight="1">
      <c r="A249" s="31" t="s">
        <v>688</v>
      </c>
      <c r="B249" s="3" t="s">
        <v>687</v>
      </c>
      <c r="C249" s="32" t="s">
        <v>16</v>
      </c>
      <c r="D249" s="13">
        <f>(D6*1.5)</f>
        <v>1162.5</v>
      </c>
      <c r="E249" s="32" t="s">
        <v>579</v>
      </c>
      <c r="F249" s="13">
        <f>(F6*1.5)</f>
        <v>990</v>
      </c>
      <c r="G249" s="7">
        <v>12</v>
      </c>
      <c r="H249" s="7">
        <v>12</v>
      </c>
    </row>
    <row r="250" spans="1:8" ht="24" customHeight="1">
      <c r="A250" s="31" t="s">
        <v>690</v>
      </c>
      <c r="B250" s="3" t="s">
        <v>689</v>
      </c>
      <c r="C250" s="32" t="s">
        <v>16</v>
      </c>
      <c r="D250" s="13">
        <f>(D6*1)</f>
        <v>775</v>
      </c>
      <c r="E250" s="32" t="s">
        <v>580</v>
      </c>
      <c r="F250" s="13">
        <f>(F6*1)</f>
        <v>660</v>
      </c>
      <c r="G250" s="41">
        <v>13</v>
      </c>
      <c r="H250" s="41">
        <v>13</v>
      </c>
    </row>
    <row r="251" spans="1:8" ht="24" customHeight="1">
      <c r="A251" s="31" t="s">
        <v>694</v>
      </c>
      <c r="B251" s="3" t="s">
        <v>691</v>
      </c>
      <c r="C251" s="32" t="s">
        <v>16</v>
      </c>
      <c r="D251" s="13">
        <f>(D6*0.5)</f>
        <v>387.5</v>
      </c>
      <c r="E251" s="32" t="s">
        <v>581</v>
      </c>
      <c r="F251" s="13">
        <f>(F6*0.5)</f>
        <v>330</v>
      </c>
      <c r="G251" s="41">
        <v>14</v>
      </c>
      <c r="H251" s="41">
        <v>14</v>
      </c>
    </row>
    <row r="252" spans="1:8" ht="24" customHeight="1">
      <c r="A252" s="31" t="s">
        <v>695</v>
      </c>
      <c r="B252" s="3" t="s">
        <v>696</v>
      </c>
      <c r="C252" s="32" t="s">
        <v>16</v>
      </c>
      <c r="D252" s="13">
        <f>(D6*1)</f>
        <v>775</v>
      </c>
      <c r="E252" s="32" t="s">
        <v>582</v>
      </c>
      <c r="F252" s="13">
        <f>(F6*1)</f>
        <v>660</v>
      </c>
      <c r="G252" s="41">
        <v>15</v>
      </c>
      <c r="H252" s="41">
        <v>15</v>
      </c>
    </row>
    <row r="253" spans="1:8" ht="24" customHeight="1">
      <c r="A253" s="35" t="s">
        <v>728</v>
      </c>
      <c r="B253" s="8" t="s">
        <v>542</v>
      </c>
      <c r="C253" s="9"/>
      <c r="D253" s="10"/>
      <c r="E253" s="15"/>
      <c r="F253" s="10"/>
      <c r="G253" s="7">
        <v>16</v>
      </c>
      <c r="H253" s="7">
        <v>16</v>
      </c>
    </row>
    <row r="254" spans="1:8" ht="24" customHeight="1">
      <c r="A254" s="31" t="s">
        <v>729</v>
      </c>
      <c r="B254" s="3" t="s">
        <v>666</v>
      </c>
      <c r="C254" s="32" t="s">
        <v>32</v>
      </c>
      <c r="D254" s="13">
        <f>(D6*4)</f>
        <v>3100</v>
      </c>
      <c r="E254" s="32" t="s">
        <v>583</v>
      </c>
      <c r="F254" s="13">
        <f>(F6*4)</f>
        <v>2640</v>
      </c>
      <c r="G254" s="41">
        <v>17</v>
      </c>
      <c r="H254" s="41">
        <v>17</v>
      </c>
    </row>
    <row r="255" spans="1:8" ht="24" customHeight="1">
      <c r="A255" s="31" t="s">
        <v>730</v>
      </c>
      <c r="B255" s="3" t="s">
        <v>678</v>
      </c>
      <c r="C255" s="32" t="s">
        <v>32</v>
      </c>
      <c r="D255" s="13">
        <f>(D6*3)</f>
        <v>2325</v>
      </c>
      <c r="E255" s="32" t="s">
        <v>650</v>
      </c>
      <c r="F255" s="13">
        <f>(F6*3)</f>
        <v>1980</v>
      </c>
      <c r="G255" s="41">
        <v>18</v>
      </c>
      <c r="H255" s="41">
        <v>18</v>
      </c>
    </row>
    <row r="256" spans="1:8" ht="24" customHeight="1">
      <c r="A256" s="31" t="s">
        <v>731</v>
      </c>
      <c r="B256" s="3" t="s">
        <v>683</v>
      </c>
      <c r="C256" s="32" t="s">
        <v>32</v>
      </c>
      <c r="D256" s="13">
        <f>(D6*2)</f>
        <v>1550</v>
      </c>
      <c r="E256" s="32" t="s">
        <v>659</v>
      </c>
      <c r="F256" s="13">
        <f>(F6*2)</f>
        <v>1320</v>
      </c>
      <c r="G256" s="41">
        <v>19</v>
      </c>
      <c r="H256" s="41">
        <v>19</v>
      </c>
    </row>
    <row r="257" spans="1:8" ht="24" customHeight="1">
      <c r="A257" s="31" t="s">
        <v>732</v>
      </c>
      <c r="B257" s="3" t="s">
        <v>684</v>
      </c>
      <c r="C257" s="32" t="s">
        <v>32</v>
      </c>
      <c r="D257" s="13">
        <f>(D6*2)</f>
        <v>1550</v>
      </c>
      <c r="E257" s="32" t="s">
        <v>651</v>
      </c>
      <c r="F257" s="13">
        <f>(F6*2)</f>
        <v>1320</v>
      </c>
      <c r="G257" s="7">
        <v>20</v>
      </c>
      <c r="H257" s="7">
        <v>20</v>
      </c>
    </row>
    <row r="258" spans="1:8" ht="24" customHeight="1">
      <c r="A258" s="31" t="s">
        <v>733</v>
      </c>
      <c r="B258" s="3" t="s">
        <v>685</v>
      </c>
      <c r="C258" s="32" t="s">
        <v>32</v>
      </c>
      <c r="D258" s="13">
        <f>(D6*1.5)</f>
        <v>1162.5</v>
      </c>
      <c r="E258" s="32" t="s">
        <v>652</v>
      </c>
      <c r="F258" s="13">
        <f>(F6*1.5)</f>
        <v>990</v>
      </c>
      <c r="G258" s="41">
        <v>21</v>
      </c>
      <c r="H258" s="41">
        <v>21</v>
      </c>
    </row>
    <row r="259" spans="1:8" ht="24" customHeight="1">
      <c r="A259" s="31" t="s">
        <v>734</v>
      </c>
      <c r="B259" s="3" t="s">
        <v>692</v>
      </c>
      <c r="C259" s="32" t="s">
        <v>32</v>
      </c>
      <c r="D259" s="13">
        <f>(D6*2.5)</f>
        <v>1937.5</v>
      </c>
      <c r="E259" s="32" t="s">
        <v>653</v>
      </c>
      <c r="F259" s="13">
        <f>(F6*2.5)</f>
        <v>1650</v>
      </c>
      <c r="G259" s="41">
        <v>22</v>
      </c>
      <c r="H259" s="41">
        <v>22</v>
      </c>
    </row>
    <row r="260" spans="1:8" ht="24" customHeight="1">
      <c r="A260" s="31" t="s">
        <v>735</v>
      </c>
      <c r="B260" s="3" t="s">
        <v>693</v>
      </c>
      <c r="C260" s="32" t="s">
        <v>32</v>
      </c>
      <c r="D260" s="13">
        <f>(D6*1.5)</f>
        <v>1162.5</v>
      </c>
      <c r="E260" s="32" t="s">
        <v>654</v>
      </c>
      <c r="F260" s="13">
        <f>(F6*1.5)</f>
        <v>990</v>
      </c>
      <c r="G260" s="41">
        <v>23</v>
      </c>
      <c r="H260" s="41">
        <v>23</v>
      </c>
    </row>
    <row r="261" spans="1:8" ht="24" customHeight="1">
      <c r="A261" s="31" t="s">
        <v>736</v>
      </c>
      <c r="B261" s="3" t="s">
        <v>687</v>
      </c>
      <c r="C261" s="32" t="s">
        <v>32</v>
      </c>
      <c r="D261" s="13">
        <f>(D6*1)</f>
        <v>775</v>
      </c>
      <c r="E261" s="32" t="s">
        <v>655</v>
      </c>
      <c r="F261" s="13">
        <f>(F6*1)</f>
        <v>660</v>
      </c>
      <c r="G261" s="41">
        <v>24</v>
      </c>
      <c r="H261" s="41">
        <v>24</v>
      </c>
    </row>
    <row r="262" spans="1:8" ht="24" customHeight="1">
      <c r="A262" s="31" t="s">
        <v>737</v>
      </c>
      <c r="B262" s="3" t="s">
        <v>689</v>
      </c>
      <c r="C262" s="32" t="s">
        <v>32</v>
      </c>
      <c r="D262" s="13">
        <f>(D6*0.6)</f>
        <v>465</v>
      </c>
      <c r="E262" s="32" t="s">
        <v>656</v>
      </c>
      <c r="F262" s="13">
        <f>(F6*0.6)</f>
        <v>396</v>
      </c>
      <c r="G262" s="41">
        <v>25</v>
      </c>
      <c r="H262" s="41">
        <v>25</v>
      </c>
    </row>
    <row r="263" spans="1:8" ht="24" customHeight="1">
      <c r="A263" s="31" t="s">
        <v>738</v>
      </c>
      <c r="B263" s="3" t="s">
        <v>691</v>
      </c>
      <c r="C263" s="32" t="s">
        <v>32</v>
      </c>
      <c r="D263" s="13">
        <f>(D6*0.3)</f>
        <v>232.5</v>
      </c>
      <c r="E263" s="32" t="s">
        <v>657</v>
      </c>
      <c r="F263" s="13">
        <f>(F6*0.3)</f>
        <v>198</v>
      </c>
      <c r="G263" s="41">
        <v>26</v>
      </c>
      <c r="H263" s="41">
        <v>26</v>
      </c>
    </row>
    <row r="264" spans="1:8" ht="24" customHeight="1">
      <c r="A264" s="31" t="s">
        <v>739</v>
      </c>
      <c r="B264" s="3" t="s">
        <v>696</v>
      </c>
      <c r="C264" s="32" t="s">
        <v>32</v>
      </c>
      <c r="D264" s="13">
        <f>(D6*0.5)</f>
        <v>387.5</v>
      </c>
      <c r="E264" s="32" t="s">
        <v>658</v>
      </c>
      <c r="F264" s="13">
        <f>(F6*0.5)</f>
        <v>330</v>
      </c>
      <c r="G264" s="41">
        <v>27</v>
      </c>
      <c r="H264" s="41">
        <v>27</v>
      </c>
    </row>
    <row r="265" spans="7:8" ht="24" customHeight="1">
      <c r="G265" s="41">
        <v>29</v>
      </c>
      <c r="H265" s="41">
        <v>29</v>
      </c>
    </row>
    <row r="266" spans="7:8" ht="24" customHeight="1">
      <c r="G266" s="41">
        <v>30</v>
      </c>
      <c r="H266" s="41">
        <v>30</v>
      </c>
    </row>
    <row r="267" spans="7:8" ht="24" customHeight="1">
      <c r="G267" s="41">
        <v>31</v>
      </c>
      <c r="H267" s="41">
        <v>31</v>
      </c>
    </row>
    <row r="268" spans="7:8" ht="24" customHeight="1">
      <c r="G268" s="41">
        <v>32</v>
      </c>
      <c r="H268" s="41">
        <v>32</v>
      </c>
    </row>
    <row r="271" ht="24" customHeight="1">
      <c r="E271" s="54" t="s">
        <v>222</v>
      </c>
    </row>
    <row r="272" spans="1:8" ht="24" customHeight="1">
      <c r="A272" s="34" t="s">
        <v>516</v>
      </c>
      <c r="B272" s="22"/>
      <c r="C272" s="2"/>
      <c r="D272" s="12"/>
      <c r="E272" s="21"/>
      <c r="F272" s="12"/>
      <c r="G272" s="41">
        <v>1</v>
      </c>
      <c r="H272" s="41">
        <v>1</v>
      </c>
    </row>
    <row r="273" spans="1:8" ht="24" customHeight="1">
      <c r="A273" s="36" t="s">
        <v>740</v>
      </c>
      <c r="B273" s="23" t="s">
        <v>747</v>
      </c>
      <c r="C273" s="24"/>
      <c r="D273" s="25"/>
      <c r="E273" s="26"/>
      <c r="F273" s="25"/>
      <c r="G273" s="41">
        <v>2</v>
      </c>
      <c r="H273" s="41">
        <v>2</v>
      </c>
    </row>
    <row r="274" spans="1:8" ht="24" customHeight="1">
      <c r="A274" s="40" t="s">
        <v>776</v>
      </c>
      <c r="B274" s="18" t="s">
        <v>783</v>
      </c>
      <c r="C274" s="18" t="s">
        <v>772</v>
      </c>
      <c r="D274" s="20" t="s">
        <v>773</v>
      </c>
      <c r="E274" s="18" t="s">
        <v>774</v>
      </c>
      <c r="F274" s="20" t="s">
        <v>773</v>
      </c>
      <c r="G274" s="41">
        <v>3</v>
      </c>
      <c r="H274" s="41">
        <v>3</v>
      </c>
    </row>
    <row r="275" spans="1:8" ht="24" customHeight="1">
      <c r="A275" s="35" t="s">
        <v>741</v>
      </c>
      <c r="B275" s="8" t="s">
        <v>745</v>
      </c>
      <c r="C275" s="9"/>
      <c r="D275" s="10"/>
      <c r="E275" s="15"/>
      <c r="F275" s="10"/>
      <c r="G275" s="7">
        <v>4</v>
      </c>
      <c r="H275" s="7">
        <v>4</v>
      </c>
    </row>
    <row r="276" spans="1:8" ht="24" customHeight="1">
      <c r="A276" s="31" t="s">
        <v>742</v>
      </c>
      <c r="B276" s="3" t="s">
        <v>697</v>
      </c>
      <c r="C276" s="32" t="s">
        <v>16</v>
      </c>
      <c r="D276" s="13">
        <f>(D6*1.8)</f>
        <v>1395</v>
      </c>
      <c r="E276" s="32" t="s">
        <v>514</v>
      </c>
      <c r="F276" s="13">
        <f>(F6*1.67105)</f>
        <v>1102.893</v>
      </c>
      <c r="G276" s="41">
        <v>5</v>
      </c>
      <c r="H276" s="41">
        <v>5</v>
      </c>
    </row>
    <row r="277" spans="1:8" ht="24" customHeight="1">
      <c r="A277" s="35" t="s">
        <v>743</v>
      </c>
      <c r="B277" s="8" t="s">
        <v>746</v>
      </c>
      <c r="C277" s="9"/>
      <c r="D277" s="10"/>
      <c r="E277" s="15"/>
      <c r="F277" s="10"/>
      <c r="G277" s="41">
        <v>6</v>
      </c>
      <c r="H277" s="41">
        <v>6</v>
      </c>
    </row>
    <row r="278" spans="1:8" ht="24" customHeight="1">
      <c r="A278" s="31" t="s">
        <v>744</v>
      </c>
      <c r="B278" s="3" t="s">
        <v>697</v>
      </c>
      <c r="C278" s="32" t="s">
        <v>16</v>
      </c>
      <c r="D278" s="13">
        <f>(D6*1)</f>
        <v>775</v>
      </c>
      <c r="E278" s="32" t="s">
        <v>251</v>
      </c>
      <c r="F278" s="13">
        <f>(F6*1)</f>
        <v>660</v>
      </c>
      <c r="G278" s="41">
        <v>7</v>
      </c>
      <c r="H278" s="41">
        <v>7</v>
      </c>
    </row>
    <row r="279" spans="7:8" ht="24" customHeight="1">
      <c r="G279" s="7">
        <v>8</v>
      </c>
      <c r="H279" s="7">
        <v>8</v>
      </c>
    </row>
    <row r="280" spans="1:8" ht="13.5" customHeight="1">
      <c r="A280" s="39"/>
      <c r="B280" s="59" t="s">
        <v>750</v>
      </c>
      <c r="C280" s="2"/>
      <c r="D280" s="12"/>
      <c r="E280" s="21"/>
      <c r="F280" s="12"/>
      <c r="G280" s="41">
        <v>9</v>
      </c>
      <c r="H280" s="41">
        <v>9</v>
      </c>
    </row>
    <row r="281" spans="1:8" ht="13.5" customHeight="1">
      <c r="A281" s="54" t="s">
        <v>748</v>
      </c>
      <c r="B281" s="56" t="s">
        <v>515</v>
      </c>
      <c r="G281" s="41">
        <v>10</v>
      </c>
      <c r="H281" s="41">
        <v>10</v>
      </c>
    </row>
    <row r="282" spans="1:8" ht="13.5" customHeight="1">
      <c r="A282" s="54" t="s">
        <v>749</v>
      </c>
      <c r="B282" s="56" t="s">
        <v>543</v>
      </c>
      <c r="G282" s="41">
        <v>11</v>
      </c>
      <c r="H282" s="41">
        <v>11</v>
      </c>
    </row>
    <row r="283" spans="1:8" ht="13.5" customHeight="1">
      <c r="A283" s="54"/>
      <c r="B283" s="56"/>
      <c r="G283" s="7">
        <v>12</v>
      </c>
      <c r="H283" s="7">
        <v>12</v>
      </c>
    </row>
    <row r="284" spans="1:8" ht="13.5" customHeight="1">
      <c r="A284" s="52"/>
      <c r="B284" s="56"/>
      <c r="G284" s="41">
        <v>13</v>
      </c>
      <c r="H284" s="41">
        <v>13</v>
      </c>
    </row>
    <row r="285" spans="1:8" ht="13.5" customHeight="1">
      <c r="A285" s="39"/>
      <c r="B285" s="59" t="s">
        <v>751</v>
      </c>
      <c r="C285" s="2"/>
      <c r="D285" s="12"/>
      <c r="E285" s="21"/>
      <c r="F285" s="12"/>
      <c r="G285" s="41">
        <v>14</v>
      </c>
      <c r="H285" s="41">
        <v>14</v>
      </c>
    </row>
    <row r="286" spans="1:8" ht="13.5" customHeight="1">
      <c r="A286" s="52"/>
      <c r="B286" s="58" t="s">
        <v>752</v>
      </c>
      <c r="G286" s="41">
        <v>15</v>
      </c>
      <c r="H286" s="41">
        <v>15</v>
      </c>
    </row>
    <row r="287" spans="1:8" ht="13.5" customHeight="1">
      <c r="A287" s="57" t="s">
        <v>753</v>
      </c>
      <c r="B287" s="56" t="s">
        <v>754</v>
      </c>
      <c r="G287" s="7">
        <v>16</v>
      </c>
      <c r="H287" s="7">
        <v>16</v>
      </c>
    </row>
    <row r="288" spans="1:8" ht="13.5" customHeight="1">
      <c r="A288" s="57" t="s">
        <v>753</v>
      </c>
      <c r="B288" s="56" t="s">
        <v>755</v>
      </c>
      <c r="G288" s="41">
        <v>17</v>
      </c>
      <c r="H288" s="41">
        <v>17</v>
      </c>
    </row>
    <row r="289" spans="1:8" ht="13.5" customHeight="1">
      <c r="A289" s="57" t="s">
        <v>753</v>
      </c>
      <c r="B289" s="56" t="s">
        <v>756</v>
      </c>
      <c r="G289" s="41">
        <v>18</v>
      </c>
      <c r="H289" s="41">
        <v>18</v>
      </c>
    </row>
    <row r="290" spans="1:8" ht="13.5" customHeight="1">
      <c r="A290" s="57" t="s">
        <v>753</v>
      </c>
      <c r="B290" s="56" t="s">
        <v>757</v>
      </c>
      <c r="G290" s="41">
        <v>19</v>
      </c>
      <c r="H290" s="41">
        <v>19</v>
      </c>
    </row>
    <row r="291" spans="1:8" ht="13.5" customHeight="1">
      <c r="A291" s="57" t="s">
        <v>753</v>
      </c>
      <c r="B291" s="56" t="s">
        <v>758</v>
      </c>
      <c r="G291" s="7">
        <v>20</v>
      </c>
      <c r="H291" s="7">
        <v>20</v>
      </c>
    </row>
    <row r="292" spans="1:8" ht="13.5" customHeight="1">
      <c r="A292" s="57" t="s">
        <v>753</v>
      </c>
      <c r="B292" s="56" t="s">
        <v>759</v>
      </c>
      <c r="G292" s="41">
        <v>21</v>
      </c>
      <c r="H292" s="41">
        <v>21</v>
      </c>
    </row>
    <row r="293" spans="1:8" ht="13.5" customHeight="1">
      <c r="A293" s="57" t="s">
        <v>753</v>
      </c>
      <c r="B293" s="56" t="s">
        <v>760</v>
      </c>
      <c r="G293" s="41">
        <v>22</v>
      </c>
      <c r="H293" s="41">
        <v>22</v>
      </c>
    </row>
    <row r="294" spans="1:8" ht="13.5" customHeight="1">
      <c r="A294" s="57" t="s">
        <v>753</v>
      </c>
      <c r="B294" s="56" t="s">
        <v>761</v>
      </c>
      <c r="G294" s="41">
        <v>23</v>
      </c>
      <c r="H294" s="41">
        <v>23</v>
      </c>
    </row>
    <row r="295" spans="1:8" ht="13.5" customHeight="1">
      <c r="A295" s="53" t="s">
        <v>753</v>
      </c>
      <c r="B295" s="56" t="s">
        <v>762</v>
      </c>
      <c r="G295" s="41">
        <v>24</v>
      </c>
      <c r="H295" s="41">
        <v>24</v>
      </c>
    </row>
    <row r="296" spans="1:8" ht="13.5" customHeight="1">
      <c r="A296" s="52"/>
      <c r="B296" s="58" t="s">
        <v>660</v>
      </c>
      <c r="G296" s="41">
        <v>25</v>
      </c>
      <c r="H296" s="41">
        <v>25</v>
      </c>
    </row>
    <row r="297" spans="1:8" ht="13.5" customHeight="1">
      <c r="A297" s="57" t="s">
        <v>753</v>
      </c>
      <c r="B297" s="56" t="s">
        <v>763</v>
      </c>
      <c r="G297" s="41">
        <v>26</v>
      </c>
      <c r="H297" s="41">
        <v>26</v>
      </c>
    </row>
    <row r="298" spans="1:8" ht="13.5" customHeight="1">
      <c r="A298" s="57" t="s">
        <v>753</v>
      </c>
      <c r="B298" s="56" t="s">
        <v>764</v>
      </c>
      <c r="G298" s="41">
        <v>27</v>
      </c>
      <c r="H298" s="41">
        <v>27</v>
      </c>
    </row>
    <row r="299" spans="1:8" ht="13.5" customHeight="1">
      <c r="A299" s="57" t="s">
        <v>753</v>
      </c>
      <c r="B299" s="56" t="s">
        <v>765</v>
      </c>
      <c r="G299" s="41">
        <v>29</v>
      </c>
      <c r="H299" s="41">
        <v>29</v>
      </c>
    </row>
    <row r="300" spans="1:8" ht="13.5" customHeight="1">
      <c r="A300" s="57" t="s">
        <v>753</v>
      </c>
      <c r="B300" s="56" t="s">
        <v>252</v>
      </c>
      <c r="G300" s="41">
        <v>30</v>
      </c>
      <c r="H300" s="41">
        <v>30</v>
      </c>
    </row>
    <row r="301" spans="1:8" ht="13.5" customHeight="1">
      <c r="A301" s="57" t="s">
        <v>753</v>
      </c>
      <c r="B301" s="56" t="s">
        <v>766</v>
      </c>
      <c r="G301" s="41">
        <v>31</v>
      </c>
      <c r="H301" s="41">
        <v>31</v>
      </c>
    </row>
    <row r="302" spans="1:8" ht="13.5" customHeight="1">
      <c r="A302" s="57" t="s">
        <v>753</v>
      </c>
      <c r="B302" s="56" t="s">
        <v>767</v>
      </c>
      <c r="G302" s="41">
        <v>32</v>
      </c>
      <c r="H302" s="41">
        <v>32</v>
      </c>
    </row>
    <row r="303" spans="1:8" ht="13.5" customHeight="1">
      <c r="A303" s="57" t="s">
        <v>753</v>
      </c>
      <c r="B303" s="56" t="s">
        <v>768</v>
      </c>
      <c r="G303" s="41">
        <v>33</v>
      </c>
      <c r="H303" s="41">
        <v>33</v>
      </c>
    </row>
    <row r="304" spans="1:8" ht="13.5" customHeight="1">
      <c r="A304" s="57" t="s">
        <v>753</v>
      </c>
      <c r="B304" s="56" t="s">
        <v>769</v>
      </c>
      <c r="G304" s="41">
        <v>34</v>
      </c>
      <c r="H304" s="41">
        <v>34</v>
      </c>
    </row>
    <row r="305" spans="1:8" ht="13.5" customHeight="1">
      <c r="A305" s="57" t="s">
        <v>753</v>
      </c>
      <c r="B305" s="56" t="s">
        <v>770</v>
      </c>
      <c r="G305" s="41">
        <v>35</v>
      </c>
      <c r="H305" s="41">
        <v>35</v>
      </c>
    </row>
    <row r="306" spans="7:8" ht="13.5" customHeight="1">
      <c r="G306" s="41">
        <v>36</v>
      </c>
      <c r="H306" s="41">
        <v>36</v>
      </c>
    </row>
    <row r="307" spans="7:8" ht="13.5" customHeight="1">
      <c r="G307" s="41">
        <v>37</v>
      </c>
      <c r="H307" s="41">
        <v>37</v>
      </c>
    </row>
    <row r="308" spans="5:8" ht="13.5" customHeight="1">
      <c r="E308" s="64" t="s">
        <v>260</v>
      </c>
      <c r="G308" s="41">
        <v>38</v>
      </c>
      <c r="H308" s="41">
        <v>38</v>
      </c>
    </row>
    <row r="309" spans="5:8" ht="13.5" customHeight="1">
      <c r="E309" s="67" t="s">
        <v>261</v>
      </c>
      <c r="G309" s="41">
        <v>39</v>
      </c>
      <c r="H309" s="41">
        <v>39</v>
      </c>
    </row>
    <row r="310" spans="7:8" ht="13.5" customHeight="1">
      <c r="G310" s="41">
        <v>40</v>
      </c>
      <c r="H310" s="41">
        <v>40</v>
      </c>
    </row>
    <row r="311" ht="13.5" customHeight="1"/>
    <row r="312" ht="13.5" customHeight="1">
      <c r="E312" s="64"/>
    </row>
    <row r="313" ht="13.5" customHeight="1">
      <c r="E313" s="64"/>
    </row>
    <row r="314" ht="13.5" customHeight="1">
      <c r="E314" s="64"/>
    </row>
    <row r="315" ht="13.5" customHeight="1">
      <c r="E315" s="67"/>
    </row>
    <row r="316" spans="1:2" ht="13.5" customHeight="1">
      <c r="A316" s="54"/>
      <c r="B316" s="56"/>
    </row>
    <row r="317" spans="1:8" ht="13.5" customHeight="1">
      <c r="A317" s="54"/>
      <c r="B317" s="56"/>
      <c r="G317" s="7"/>
      <c r="H317" s="7"/>
    </row>
    <row r="318" spans="1:2" ht="13.5" customHeight="1">
      <c r="A318" s="52"/>
      <c r="B318" s="56"/>
    </row>
    <row r="319" spans="1:6" ht="13.5" customHeight="1">
      <c r="A319" s="39"/>
      <c r="B319" s="59"/>
      <c r="C319" s="2"/>
      <c r="D319" s="12"/>
      <c r="E319" s="21"/>
      <c r="F319" s="12"/>
    </row>
    <row r="320" spans="1:2" ht="13.5" customHeight="1">
      <c r="A320" s="52"/>
      <c r="B320" s="58"/>
    </row>
    <row r="321" spans="1:8" ht="13.5" customHeight="1">
      <c r="A321" s="57"/>
      <c r="B321" s="56"/>
      <c r="G321" s="7"/>
      <c r="H321" s="7"/>
    </row>
    <row r="322" spans="1:2" ht="13.5" customHeight="1">
      <c r="A322" s="57"/>
      <c r="B322" s="56"/>
    </row>
    <row r="323" spans="1:2" ht="13.5" customHeight="1">
      <c r="A323" s="57"/>
      <c r="B323" s="56"/>
    </row>
    <row r="324" spans="1:2" ht="13.5" customHeight="1">
      <c r="A324" s="57"/>
      <c r="B324" s="56"/>
    </row>
    <row r="325" spans="1:8" ht="13.5" customHeight="1">
      <c r="A325" s="57"/>
      <c r="B325" s="56"/>
      <c r="G325" s="7"/>
      <c r="H325" s="7"/>
    </row>
    <row r="326" spans="1:2" ht="13.5" customHeight="1">
      <c r="A326" s="57"/>
      <c r="B326" s="56"/>
    </row>
    <row r="327" spans="1:2" ht="13.5" customHeight="1">
      <c r="A327" s="57"/>
      <c r="B327" s="56"/>
    </row>
    <row r="328" spans="1:2" ht="13.5" customHeight="1">
      <c r="A328" s="57"/>
      <c r="B328" s="56"/>
    </row>
    <row r="329" spans="1:2" ht="13.5" customHeight="1">
      <c r="A329" s="53"/>
      <c r="B329" s="56"/>
    </row>
    <row r="330" spans="1:2" ht="13.5" customHeight="1">
      <c r="A330" s="52"/>
      <c r="B330" s="58"/>
    </row>
    <row r="331" spans="1:2" ht="13.5" customHeight="1">
      <c r="A331" s="57"/>
      <c r="B331" s="56"/>
    </row>
    <row r="332" spans="1:2" ht="13.5" customHeight="1">
      <c r="A332" s="57"/>
      <c r="B332" s="56"/>
    </row>
    <row r="333" spans="1:2" ht="13.5" customHeight="1">
      <c r="A333" s="57"/>
      <c r="B333" s="56"/>
    </row>
    <row r="334" spans="1:2" ht="13.5" customHeight="1">
      <c r="A334" s="57"/>
      <c r="B334" s="56"/>
    </row>
    <row r="335" spans="1:2" ht="13.5" customHeight="1">
      <c r="A335" s="57"/>
      <c r="B335" s="56"/>
    </row>
    <row r="336" spans="1:2" ht="13.5" customHeight="1">
      <c r="A336" s="57"/>
      <c r="B336" s="56"/>
    </row>
    <row r="337" spans="1:2" ht="13.5" customHeight="1">
      <c r="A337" s="57"/>
      <c r="B337" s="56"/>
    </row>
    <row r="338" spans="1:2" ht="13.5" customHeight="1">
      <c r="A338" s="57"/>
      <c r="B338" s="56"/>
    </row>
    <row r="339" spans="1:2" ht="13.5" customHeight="1">
      <c r="A339" s="57"/>
      <c r="B339" s="56"/>
    </row>
    <row r="340" ht="13.5" customHeight="1"/>
    <row r="341" ht="13.5" customHeight="1"/>
    <row r="342" ht="13.5" customHeight="1">
      <c r="E342" s="64"/>
    </row>
    <row r="343" ht="13.5" customHeight="1">
      <c r="E343" s="64"/>
    </row>
    <row r="344" ht="13.5" customHeight="1"/>
    <row r="345" ht="13.5" customHeight="1"/>
    <row r="346" ht="13.5" customHeight="1">
      <c r="E346" s="64"/>
    </row>
    <row r="347" ht="13.5" customHeight="1">
      <c r="E347" s="64"/>
    </row>
    <row r="348" ht="13.5" customHeight="1">
      <c r="E348" s="64"/>
    </row>
    <row r="349" ht="13.5" customHeight="1">
      <c r="E349" s="67"/>
    </row>
    <row r="350" ht="13.5" customHeight="1"/>
  </sheetData>
  <printOptions/>
  <pageMargins left="0.36" right="0.75" top="0.19" bottom="0.18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9"/>
  <sheetViews>
    <sheetView workbookViewId="0" topLeftCell="A1">
      <selection activeCell="A1" sqref="A1"/>
    </sheetView>
  </sheetViews>
  <sheetFormatPr defaultColWidth="9.00390625" defaultRowHeight="24" customHeight="1"/>
  <cols>
    <col min="1" max="1" width="4.625" style="37" customWidth="1"/>
    <col min="2" max="2" width="7.625" style="1" customWidth="1"/>
    <col min="3" max="3" width="10.625" style="1" customWidth="1"/>
    <col min="4" max="4" width="8.625" style="14" customWidth="1"/>
    <col min="5" max="5" width="60.625" style="17" customWidth="1"/>
    <col min="6" max="6" width="10.625" style="14" customWidth="1"/>
    <col min="7" max="8" width="9.125" style="41" customWidth="1"/>
    <col min="9" max="16384" width="9.125" style="1" customWidth="1"/>
  </cols>
  <sheetData>
    <row r="1" ht="24" customHeight="1">
      <c r="E1" s="54" t="s">
        <v>215</v>
      </c>
    </row>
    <row r="2" spans="1:8" ht="24" customHeight="1">
      <c r="A2" s="34" t="s">
        <v>516</v>
      </c>
      <c r="B2" s="22"/>
      <c r="C2" s="2"/>
      <c r="D2" s="12"/>
      <c r="E2" s="21"/>
      <c r="F2" s="12"/>
      <c r="G2" s="41">
        <v>1</v>
      </c>
      <c r="H2" s="41">
        <v>1</v>
      </c>
    </row>
    <row r="3" spans="1:8" s="19" customFormat="1" ht="24" customHeight="1">
      <c r="A3" s="36" t="s">
        <v>784</v>
      </c>
      <c r="B3" s="23" t="s">
        <v>775</v>
      </c>
      <c r="C3" s="24"/>
      <c r="D3" s="25"/>
      <c r="E3" s="26"/>
      <c r="F3" s="29"/>
      <c r="G3" s="41">
        <v>2</v>
      </c>
      <c r="H3" s="41">
        <v>2</v>
      </c>
    </row>
    <row r="4" spans="1:8" s="11" customFormat="1" ht="24" customHeight="1">
      <c r="A4" s="40" t="s">
        <v>776</v>
      </c>
      <c r="B4" s="18" t="s">
        <v>783</v>
      </c>
      <c r="C4" s="18" t="s">
        <v>772</v>
      </c>
      <c r="D4" s="20" t="s">
        <v>773</v>
      </c>
      <c r="E4" s="18" t="s">
        <v>774</v>
      </c>
      <c r="F4" s="30" t="s">
        <v>1</v>
      </c>
      <c r="G4" s="41">
        <v>3</v>
      </c>
      <c r="H4" s="41">
        <v>3</v>
      </c>
    </row>
    <row r="5" spans="1:8" s="7" customFormat="1" ht="24" customHeight="1">
      <c r="A5" s="35" t="s">
        <v>785</v>
      </c>
      <c r="B5" s="8" t="s">
        <v>777</v>
      </c>
      <c r="C5" s="9"/>
      <c r="D5" s="10"/>
      <c r="E5" s="15"/>
      <c r="F5" s="28">
        <f>660*1.136363</f>
        <v>749.99958</v>
      </c>
      <c r="G5" s="7">
        <v>4</v>
      </c>
      <c r="H5" s="7">
        <v>4</v>
      </c>
    </row>
    <row r="6" spans="1:8" ht="33.75" customHeight="1">
      <c r="A6" s="31" t="s">
        <v>786</v>
      </c>
      <c r="B6" s="3"/>
      <c r="C6" s="32" t="s">
        <v>778</v>
      </c>
      <c r="D6" s="13">
        <f>F5*1</f>
        <v>749.99958</v>
      </c>
      <c r="E6" s="32" t="s">
        <v>230</v>
      </c>
      <c r="F6" s="13">
        <v>660</v>
      </c>
      <c r="G6" s="41">
        <v>5</v>
      </c>
      <c r="H6" s="41">
        <v>5</v>
      </c>
    </row>
    <row r="7" spans="1:8" ht="24" customHeight="1">
      <c r="A7" s="31" t="s">
        <v>787</v>
      </c>
      <c r="B7" s="3"/>
      <c r="C7" s="32" t="s">
        <v>779</v>
      </c>
      <c r="D7" s="13">
        <f>D6*1.466666</f>
        <v>1099.99888400028</v>
      </c>
      <c r="E7" s="33" t="s">
        <v>435</v>
      </c>
      <c r="F7" s="13">
        <f>SUM(F6*1.5)</f>
        <v>990</v>
      </c>
      <c r="G7" s="41">
        <f>D7/D6</f>
        <v>1.4666659999999998</v>
      </c>
      <c r="H7" s="41">
        <v>6</v>
      </c>
    </row>
    <row r="8" spans="1:8" ht="24" customHeight="1">
      <c r="A8" s="31" t="s">
        <v>788</v>
      </c>
      <c r="B8" s="3"/>
      <c r="C8" s="32" t="s">
        <v>780</v>
      </c>
      <c r="D8" s="13">
        <f>D6*1.466666*2</f>
        <v>2199.99776800056</v>
      </c>
      <c r="E8" s="33" t="s">
        <v>467</v>
      </c>
      <c r="F8" s="13">
        <f>SUM(F6*3)</f>
        <v>1980</v>
      </c>
      <c r="G8" s="41">
        <f>D8/D6</f>
        <v>2.9333319999999996</v>
      </c>
      <c r="H8" s="41">
        <v>7</v>
      </c>
    </row>
    <row r="9" spans="1:8" s="7" customFormat="1" ht="24" customHeight="1">
      <c r="A9" s="38" t="s">
        <v>789</v>
      </c>
      <c r="B9" s="4" t="s">
        <v>782</v>
      </c>
      <c r="C9" s="5"/>
      <c r="D9" s="6"/>
      <c r="E9" s="16"/>
      <c r="F9" s="6"/>
      <c r="G9" s="7">
        <v>8</v>
      </c>
      <c r="H9" s="7">
        <v>8</v>
      </c>
    </row>
    <row r="10" spans="1:8" ht="33.75" customHeight="1">
      <c r="A10" s="31" t="s">
        <v>790</v>
      </c>
      <c r="B10" s="3"/>
      <c r="C10" s="32" t="s">
        <v>778</v>
      </c>
      <c r="D10" s="13">
        <f>SUM(D6*12*0.6)</f>
        <v>5399.996975999999</v>
      </c>
      <c r="E10" s="32" t="s">
        <v>3</v>
      </c>
      <c r="F10" s="13">
        <f>SUM(F6*12*0.6)</f>
        <v>4752</v>
      </c>
      <c r="G10" s="41">
        <f>D10/D6</f>
        <v>7.199999999999999</v>
      </c>
      <c r="H10" s="41">
        <v>9</v>
      </c>
    </row>
    <row r="11" spans="1:8" ht="24" customHeight="1">
      <c r="A11" s="31" t="s">
        <v>791</v>
      </c>
      <c r="B11" s="3"/>
      <c r="C11" s="32" t="s">
        <v>779</v>
      </c>
      <c r="D11" s="13">
        <f>SUM(D6*1.5*12*0.6)</f>
        <v>8099.995464</v>
      </c>
      <c r="E11" s="33" t="s">
        <v>544</v>
      </c>
      <c r="F11" s="13">
        <f>SUM(F6*1.5*12*0.6)</f>
        <v>7128</v>
      </c>
      <c r="G11" s="41">
        <f>D11/D6</f>
        <v>10.799999999999999</v>
      </c>
      <c r="H11" s="41">
        <v>10</v>
      </c>
    </row>
    <row r="12" spans="1:8" ht="24" customHeight="1">
      <c r="A12" s="31" t="s">
        <v>792</v>
      </c>
      <c r="B12" s="3"/>
      <c r="C12" s="3" t="s">
        <v>780</v>
      </c>
      <c r="D12" s="13">
        <f>SUM(D6*3*12*0.60000018)</f>
        <v>16199.995787997279</v>
      </c>
      <c r="E12" s="33" t="s">
        <v>438</v>
      </c>
      <c r="F12" s="13">
        <f>SUM(F6*3*12*0.6)</f>
        <v>14256</v>
      </c>
      <c r="G12" s="41">
        <f>D12/D6</f>
        <v>21.60000648</v>
      </c>
      <c r="H12" s="41">
        <v>11</v>
      </c>
    </row>
    <row r="13" spans="1:8" s="7" customFormat="1" ht="24" customHeight="1">
      <c r="A13" s="38" t="s">
        <v>793</v>
      </c>
      <c r="B13" s="4" t="s">
        <v>797</v>
      </c>
      <c r="C13" s="5"/>
      <c r="D13" s="6"/>
      <c r="E13" s="16"/>
      <c r="F13" s="6"/>
      <c r="G13" s="7">
        <v>12</v>
      </c>
      <c r="H13" s="7">
        <v>12</v>
      </c>
    </row>
    <row r="14" spans="1:8" ht="33.75" customHeight="1">
      <c r="A14" s="31" t="s">
        <v>794</v>
      </c>
      <c r="B14" s="3"/>
      <c r="C14" s="32" t="s">
        <v>778</v>
      </c>
      <c r="D14" s="13">
        <f>SUM(D6*30*0.4000001)</f>
        <v>8999.99720999874</v>
      </c>
      <c r="E14" s="32" t="s">
        <v>436</v>
      </c>
      <c r="F14" s="13">
        <f>SUM(F6*30*0.4)</f>
        <v>7920</v>
      </c>
      <c r="G14" s="41">
        <v>13</v>
      </c>
      <c r="H14" s="41">
        <v>13</v>
      </c>
    </row>
    <row r="15" spans="1:8" ht="24" customHeight="1">
      <c r="A15" s="31" t="s">
        <v>795</v>
      </c>
      <c r="B15" s="3"/>
      <c r="C15" s="32" t="s">
        <v>779</v>
      </c>
      <c r="D15" s="13">
        <f>SUM(D6*1.5*30*0.4000001)</f>
        <v>13499.99581499811</v>
      </c>
      <c r="E15" s="33" t="s">
        <v>437</v>
      </c>
      <c r="F15" s="13">
        <f>SUM(F6*1.5*30*0.4)</f>
        <v>11880</v>
      </c>
      <c r="G15" s="41">
        <v>14</v>
      </c>
      <c r="H15" s="41">
        <v>14</v>
      </c>
    </row>
    <row r="16" spans="1:8" ht="24" customHeight="1">
      <c r="A16" s="31" t="s">
        <v>796</v>
      </c>
      <c r="B16" s="3"/>
      <c r="C16" s="32" t="s">
        <v>780</v>
      </c>
      <c r="D16" s="13">
        <f>SUM(D6*3*30*0.40000015)</f>
        <v>26999.99500499433</v>
      </c>
      <c r="E16" s="33" t="s">
        <v>439</v>
      </c>
      <c r="F16" s="13">
        <f>SUM(F6*3*30*0.4)</f>
        <v>23760</v>
      </c>
      <c r="G16" s="41">
        <v>15</v>
      </c>
      <c r="H16" s="41">
        <v>15</v>
      </c>
    </row>
    <row r="17" spans="1:8" s="7" customFormat="1" ht="24" customHeight="1">
      <c r="A17" s="38" t="s">
        <v>798</v>
      </c>
      <c r="B17" s="4" t="s">
        <v>802</v>
      </c>
      <c r="C17" s="5"/>
      <c r="D17" s="6"/>
      <c r="E17" s="16"/>
      <c r="F17" s="6"/>
      <c r="G17" s="7">
        <v>16</v>
      </c>
      <c r="H17" s="7">
        <v>16</v>
      </c>
    </row>
    <row r="18" spans="1:8" ht="39.75" customHeight="1">
      <c r="A18" s="31" t="s">
        <v>799</v>
      </c>
      <c r="B18" s="3"/>
      <c r="C18" s="32" t="s">
        <v>778</v>
      </c>
      <c r="D18" s="13">
        <f>SUM(D6*365*0.1972604)</f>
        <v>54000.00425998068</v>
      </c>
      <c r="E18" s="32" t="s">
        <v>440</v>
      </c>
      <c r="F18" s="13">
        <f>SUM(F6*365*0.2)</f>
        <v>48180</v>
      </c>
      <c r="G18" s="41">
        <v>17</v>
      </c>
      <c r="H18" s="41">
        <v>17</v>
      </c>
    </row>
    <row r="19" spans="1:8" ht="24" customHeight="1">
      <c r="A19" s="31" t="s">
        <v>800</v>
      </c>
      <c r="B19" s="3"/>
      <c r="C19" s="32" t="s">
        <v>779</v>
      </c>
      <c r="D19" s="13">
        <f>SUM(D6*1.5*365*0.1996957)</f>
        <v>82000.00089247379</v>
      </c>
      <c r="E19" s="33" t="s">
        <v>441</v>
      </c>
      <c r="F19" s="13">
        <f>SUM(F6*1.5*365*0.2)</f>
        <v>72270</v>
      </c>
      <c r="G19" s="41">
        <v>18</v>
      </c>
      <c r="H19" s="41">
        <v>18</v>
      </c>
    </row>
    <row r="20" spans="1:8" ht="24" customHeight="1">
      <c r="A20" s="31" t="s">
        <v>801</v>
      </c>
      <c r="B20" s="3"/>
      <c r="C20" s="32" t="s">
        <v>780</v>
      </c>
      <c r="D20" s="13">
        <f>SUM(D19*2)</f>
        <v>164000.00178494758</v>
      </c>
      <c r="E20" s="33" t="s">
        <v>442</v>
      </c>
      <c r="F20" s="13">
        <f>SUM(F6*3*365*0.2)</f>
        <v>144540</v>
      </c>
      <c r="G20" s="41">
        <v>19</v>
      </c>
      <c r="H20" s="41">
        <v>19</v>
      </c>
    </row>
    <row r="21" spans="1:8" s="7" customFormat="1" ht="24" customHeight="1">
      <c r="A21" s="38" t="s">
        <v>803</v>
      </c>
      <c r="B21" s="4" t="s">
        <v>2</v>
      </c>
      <c r="C21" s="5"/>
      <c r="D21" s="6"/>
      <c r="E21" s="16"/>
      <c r="F21" s="6"/>
      <c r="G21" s="7">
        <v>20</v>
      </c>
      <c r="H21" s="7">
        <v>20</v>
      </c>
    </row>
    <row r="22" spans="1:8" ht="24" customHeight="1">
      <c r="A22" s="31" t="s">
        <v>804</v>
      </c>
      <c r="B22" s="3"/>
      <c r="C22" s="32" t="s">
        <v>807</v>
      </c>
      <c r="D22" s="13">
        <f>SUM(D6*0.74667)</f>
        <v>560.0021863986</v>
      </c>
      <c r="E22" s="32" t="s">
        <v>443</v>
      </c>
      <c r="F22" s="13">
        <f>SUM(F6*0.75)</f>
        <v>495</v>
      </c>
      <c r="G22" s="41">
        <v>21</v>
      </c>
      <c r="H22" s="41">
        <v>21</v>
      </c>
    </row>
    <row r="23" spans="1:8" ht="24" customHeight="1">
      <c r="A23" s="31" t="s">
        <v>805</v>
      </c>
      <c r="B23" s="3"/>
      <c r="C23" s="32" t="s">
        <v>808</v>
      </c>
      <c r="D23" s="13">
        <f>SUM(D6*0.7)</f>
        <v>524.999706</v>
      </c>
      <c r="E23" s="32" t="s">
        <v>4</v>
      </c>
      <c r="F23" s="13">
        <f>SUM(F6*0.7)</f>
        <v>461.99999999999994</v>
      </c>
      <c r="G23" s="41">
        <v>22</v>
      </c>
      <c r="H23" s="41">
        <v>22</v>
      </c>
    </row>
    <row r="24" spans="1:8" ht="24" customHeight="1">
      <c r="A24" s="31" t="s">
        <v>806</v>
      </c>
      <c r="B24" s="3"/>
      <c r="C24" s="32" t="s">
        <v>541</v>
      </c>
      <c r="D24" s="13">
        <f>SUM(D6*0.64)</f>
        <v>479.99973120000004</v>
      </c>
      <c r="E24" s="33" t="s">
        <v>444</v>
      </c>
      <c r="F24" s="13">
        <f>SUM(F6*0.65)</f>
        <v>429</v>
      </c>
      <c r="G24" s="41">
        <v>23</v>
      </c>
      <c r="H24" s="41">
        <v>23</v>
      </c>
    </row>
    <row r="25" spans="1:8" ht="24" customHeight="1">
      <c r="A25" s="39"/>
      <c r="B25" s="2"/>
      <c r="C25" s="2"/>
      <c r="D25" s="12"/>
      <c r="E25" s="21"/>
      <c r="F25" s="12"/>
      <c r="G25" s="41">
        <v>24</v>
      </c>
      <c r="H25" s="41">
        <v>24</v>
      </c>
    </row>
    <row r="26" spans="1:8" ht="24" customHeight="1">
      <c r="A26" s="39"/>
      <c r="B26" s="2"/>
      <c r="C26" s="2"/>
      <c r="D26" s="12"/>
      <c r="E26" s="21"/>
      <c r="F26" s="12"/>
      <c r="G26" s="41">
        <v>25</v>
      </c>
      <c r="H26" s="41">
        <v>25</v>
      </c>
    </row>
    <row r="27" spans="1:8" ht="24" customHeight="1">
      <c r="A27" s="39"/>
      <c r="B27" s="2"/>
      <c r="C27" s="2"/>
      <c r="D27" s="12"/>
      <c r="E27" s="21"/>
      <c r="F27" s="12"/>
      <c r="G27" s="41">
        <v>26</v>
      </c>
      <c r="H27" s="41">
        <v>26</v>
      </c>
    </row>
    <row r="28" spans="1:8" ht="24" customHeight="1">
      <c r="A28" s="39"/>
      <c r="B28" s="2"/>
      <c r="C28" s="2"/>
      <c r="D28" s="12"/>
      <c r="E28" s="21"/>
      <c r="F28" s="12"/>
      <c r="G28" s="41">
        <v>27</v>
      </c>
      <c r="H28" s="41">
        <v>27</v>
      </c>
    </row>
    <row r="29" spans="1:8" ht="24" customHeight="1">
      <c r="A29" s="39"/>
      <c r="B29" s="2"/>
      <c r="C29" s="2"/>
      <c r="D29" s="12"/>
      <c r="E29" s="21"/>
      <c r="F29" s="12"/>
      <c r="G29" s="41">
        <v>28</v>
      </c>
      <c r="H29" s="41">
        <v>28</v>
      </c>
    </row>
    <row r="30" spans="1:8" ht="24" customHeight="1">
      <c r="A30" s="39"/>
      <c r="B30" s="2"/>
      <c r="C30" s="2"/>
      <c r="D30" s="12"/>
      <c r="E30" s="21"/>
      <c r="F30" s="12"/>
      <c r="G30" s="41">
        <v>29</v>
      </c>
      <c r="H30" s="41">
        <v>29</v>
      </c>
    </row>
    <row r="31" spans="1:8" ht="24" customHeight="1">
      <c r="A31" s="39"/>
      <c r="B31" s="2"/>
      <c r="C31" s="2"/>
      <c r="D31" s="12"/>
      <c r="E31" s="21"/>
      <c r="F31" s="12"/>
      <c r="G31" s="41">
        <v>30</v>
      </c>
      <c r="H31" s="41">
        <v>30</v>
      </c>
    </row>
    <row r="32" spans="1:8" ht="24" customHeight="1">
      <c r="A32" s="39"/>
      <c r="B32" s="2"/>
      <c r="C32" s="2"/>
      <c r="D32" s="12"/>
      <c r="E32" s="21"/>
      <c r="F32" s="12"/>
      <c r="G32" s="41">
        <v>31</v>
      </c>
      <c r="H32" s="41">
        <v>31</v>
      </c>
    </row>
    <row r="33" spans="1:8" ht="24" customHeight="1">
      <c r="A33" s="39"/>
      <c r="B33" s="2"/>
      <c r="C33" s="2"/>
      <c r="D33" s="12"/>
      <c r="E33" s="21"/>
      <c r="F33" s="12"/>
      <c r="G33" s="41">
        <v>32</v>
      </c>
      <c r="H33" s="41">
        <v>32</v>
      </c>
    </row>
    <row r="34" ht="24" customHeight="1">
      <c r="E34" s="54" t="s">
        <v>216</v>
      </c>
    </row>
    <row r="35" spans="1:8" ht="24" customHeight="1">
      <c r="A35" s="34" t="s">
        <v>516</v>
      </c>
      <c r="B35" s="22"/>
      <c r="C35" s="2"/>
      <c r="D35" s="12"/>
      <c r="E35" s="21"/>
      <c r="F35" s="12"/>
      <c r="G35" s="41">
        <v>1</v>
      </c>
      <c r="H35" s="41">
        <v>1</v>
      </c>
    </row>
    <row r="36" spans="1:8" s="19" customFormat="1" ht="24" customHeight="1">
      <c r="A36" s="36" t="s">
        <v>784</v>
      </c>
      <c r="B36" s="23" t="s">
        <v>775</v>
      </c>
      <c r="C36" s="24"/>
      <c r="D36" s="25"/>
      <c r="E36" s="26"/>
      <c r="F36" s="25"/>
      <c r="G36" s="41">
        <v>2</v>
      </c>
      <c r="H36" s="41">
        <v>2</v>
      </c>
    </row>
    <row r="37" spans="1:8" s="11" customFormat="1" ht="24" customHeight="1">
      <c r="A37" s="40" t="s">
        <v>776</v>
      </c>
      <c r="B37" s="18" t="s">
        <v>783</v>
      </c>
      <c r="C37" s="18" t="s">
        <v>772</v>
      </c>
      <c r="D37" s="20" t="s">
        <v>773</v>
      </c>
      <c r="E37" s="18" t="s">
        <v>774</v>
      </c>
      <c r="F37" s="20" t="s">
        <v>773</v>
      </c>
      <c r="G37" s="41">
        <v>3</v>
      </c>
      <c r="H37" s="41">
        <v>3</v>
      </c>
    </row>
    <row r="38" spans="1:8" s="7" customFormat="1" ht="24" customHeight="1">
      <c r="A38" s="35" t="s">
        <v>5</v>
      </c>
      <c r="B38" s="8" t="s">
        <v>162</v>
      </c>
      <c r="C38" s="9"/>
      <c r="D38" s="10"/>
      <c r="E38" s="15"/>
      <c r="F38" s="10"/>
      <c r="G38" s="7">
        <v>4</v>
      </c>
      <c r="H38" s="7">
        <v>4</v>
      </c>
    </row>
    <row r="39" spans="1:8" ht="24" customHeight="1">
      <c r="A39" s="31" t="s">
        <v>6</v>
      </c>
      <c r="B39" s="3" t="s">
        <v>9</v>
      </c>
      <c r="C39" s="32" t="s">
        <v>16</v>
      </c>
      <c r="D39" s="13">
        <f>(D6*3.14667)</f>
        <v>2360.0011783986</v>
      </c>
      <c r="E39" s="32" t="s">
        <v>445</v>
      </c>
      <c r="F39" s="13">
        <f>(F6*3.15)</f>
        <v>2079</v>
      </c>
      <c r="G39" s="41">
        <v>5</v>
      </c>
      <c r="H39" s="41">
        <v>5</v>
      </c>
    </row>
    <row r="40" spans="1:8" ht="24" customHeight="1">
      <c r="A40" s="31" t="s">
        <v>7</v>
      </c>
      <c r="B40" s="3" t="s">
        <v>14</v>
      </c>
      <c r="C40" s="32" t="s">
        <v>17</v>
      </c>
      <c r="D40" s="13">
        <f>(D6*3.14667)</f>
        <v>2360.0011783986</v>
      </c>
      <c r="E40" s="32" t="s">
        <v>446</v>
      </c>
      <c r="F40" s="13">
        <f>(F6*3.15)</f>
        <v>2079</v>
      </c>
      <c r="G40" s="41">
        <v>6</v>
      </c>
      <c r="H40" s="41">
        <v>6</v>
      </c>
    </row>
    <row r="41" spans="1:8" ht="24" customHeight="1">
      <c r="A41" s="31" t="s">
        <v>8</v>
      </c>
      <c r="B41" s="3" t="s">
        <v>15</v>
      </c>
      <c r="C41" s="32" t="s">
        <v>16</v>
      </c>
      <c r="D41" s="13">
        <f>(D6*6.3)</f>
        <v>4724.997354</v>
      </c>
      <c r="E41" s="32" t="s">
        <v>545</v>
      </c>
      <c r="F41" s="13">
        <f>(F6*6.3)</f>
        <v>4158</v>
      </c>
      <c r="G41" s="41">
        <v>7</v>
      </c>
      <c r="H41" s="41">
        <v>7</v>
      </c>
    </row>
    <row r="42" spans="1:8" ht="24" customHeight="1">
      <c r="A42" s="31" t="s">
        <v>18</v>
      </c>
      <c r="B42" s="3" t="s">
        <v>21</v>
      </c>
      <c r="C42" s="32" t="s">
        <v>16</v>
      </c>
      <c r="D42" s="13">
        <f>(D6*12.00001)</f>
        <v>9000.0024599958</v>
      </c>
      <c r="E42" s="32" t="s">
        <v>447</v>
      </c>
      <c r="F42" s="13">
        <f>(F6*12)</f>
        <v>7920</v>
      </c>
      <c r="G42" s="7">
        <v>8</v>
      </c>
      <c r="H42" s="7">
        <v>8</v>
      </c>
    </row>
    <row r="43" spans="1:8" ht="24" customHeight="1">
      <c r="A43" s="31" t="s">
        <v>19</v>
      </c>
      <c r="B43" s="3" t="s">
        <v>22</v>
      </c>
      <c r="C43" s="32" t="s">
        <v>17</v>
      </c>
      <c r="D43" s="13">
        <f>(D6*50.00003)</f>
        <v>37500.001499987404</v>
      </c>
      <c r="E43" s="32" t="s">
        <v>448</v>
      </c>
      <c r="F43" s="13">
        <f>(F6*50)</f>
        <v>33000</v>
      </c>
      <c r="G43" s="41">
        <v>9</v>
      </c>
      <c r="H43" s="41">
        <v>9</v>
      </c>
    </row>
    <row r="44" spans="1:8" ht="24" customHeight="1">
      <c r="A44" s="31" t="s">
        <v>20</v>
      </c>
      <c r="B44" s="3" t="s">
        <v>23</v>
      </c>
      <c r="C44" s="32" t="s">
        <v>16</v>
      </c>
      <c r="D44" s="13">
        <f>(D6*70.00004)</f>
        <v>52500.0005999832</v>
      </c>
      <c r="E44" s="32" t="s">
        <v>460</v>
      </c>
      <c r="F44" s="13">
        <f>(F6*70)</f>
        <v>46200</v>
      </c>
      <c r="G44" s="41">
        <v>10</v>
      </c>
      <c r="H44" s="41">
        <v>10</v>
      </c>
    </row>
    <row r="45" spans="1:8" s="7" customFormat="1" ht="24" customHeight="1">
      <c r="A45" s="35" t="s">
        <v>24</v>
      </c>
      <c r="B45" s="8" t="s">
        <v>31</v>
      </c>
      <c r="C45" s="9"/>
      <c r="D45" s="10"/>
      <c r="E45" s="15"/>
      <c r="F45" s="10"/>
      <c r="G45" s="41">
        <v>11</v>
      </c>
      <c r="H45" s="41">
        <v>11</v>
      </c>
    </row>
    <row r="46" spans="1:8" ht="24" customHeight="1">
      <c r="A46" s="31" t="s">
        <v>25</v>
      </c>
      <c r="B46" s="3" t="s">
        <v>9</v>
      </c>
      <c r="C46" s="32" t="s">
        <v>32</v>
      </c>
      <c r="D46" s="13">
        <f>(D6*1.3)</f>
        <v>974.9994540000001</v>
      </c>
      <c r="E46" s="32" t="s">
        <v>546</v>
      </c>
      <c r="F46" s="13">
        <f>(F6*1.3)</f>
        <v>858</v>
      </c>
      <c r="G46" s="7">
        <v>12</v>
      </c>
      <c r="H46" s="7">
        <v>12</v>
      </c>
    </row>
    <row r="47" spans="1:8" ht="24" customHeight="1">
      <c r="A47" s="31" t="s">
        <v>26</v>
      </c>
      <c r="B47" s="3" t="s">
        <v>14</v>
      </c>
      <c r="C47" s="32" t="s">
        <v>32</v>
      </c>
      <c r="D47" s="13">
        <f>(D6*1.3)</f>
        <v>974.9994540000001</v>
      </c>
      <c r="E47" s="32" t="s">
        <v>547</v>
      </c>
      <c r="F47" s="13">
        <f>(F6*1.3)</f>
        <v>858</v>
      </c>
      <c r="G47" s="41">
        <v>13</v>
      </c>
      <c r="H47" s="41">
        <v>13</v>
      </c>
    </row>
    <row r="48" spans="1:8" ht="24" customHeight="1">
      <c r="A48" s="31" t="s">
        <v>27</v>
      </c>
      <c r="B48" s="3" t="s">
        <v>15</v>
      </c>
      <c r="C48" s="32" t="s">
        <v>32</v>
      </c>
      <c r="D48" s="13">
        <f>(D6*2.6)</f>
        <v>1949.9989080000003</v>
      </c>
      <c r="E48" s="32" t="s">
        <v>553</v>
      </c>
      <c r="F48" s="13">
        <f>(F6*2.6)</f>
        <v>1716</v>
      </c>
      <c r="G48" s="41">
        <v>14</v>
      </c>
      <c r="H48" s="41">
        <v>14</v>
      </c>
    </row>
    <row r="49" spans="1:8" ht="24" customHeight="1">
      <c r="A49" s="31" t="s">
        <v>28</v>
      </c>
      <c r="B49" s="3" t="s">
        <v>21</v>
      </c>
      <c r="C49" s="32" t="s">
        <v>32</v>
      </c>
      <c r="D49" s="13">
        <f>(D6*6)</f>
        <v>4499.99748</v>
      </c>
      <c r="E49" s="32" t="s">
        <v>554</v>
      </c>
      <c r="F49" s="13">
        <f>(F6*6)</f>
        <v>3960</v>
      </c>
      <c r="G49" s="41">
        <v>15</v>
      </c>
      <c r="H49" s="41">
        <v>15</v>
      </c>
    </row>
    <row r="50" spans="1:8" ht="24" customHeight="1">
      <c r="A50" s="31" t="s">
        <v>29</v>
      </c>
      <c r="B50" s="3" t="s">
        <v>22</v>
      </c>
      <c r="C50" s="32" t="s">
        <v>32</v>
      </c>
      <c r="D50" s="13">
        <f>(D6*25.00001)</f>
        <v>18749.9969999958</v>
      </c>
      <c r="E50" s="32" t="s">
        <v>461</v>
      </c>
      <c r="F50" s="13">
        <f>(F6*25)</f>
        <v>16500</v>
      </c>
      <c r="G50" s="7">
        <v>16</v>
      </c>
      <c r="H50" s="7">
        <v>16</v>
      </c>
    </row>
    <row r="51" spans="1:8" ht="24" customHeight="1">
      <c r="A51" s="31" t="s">
        <v>30</v>
      </c>
      <c r="B51" s="3" t="s">
        <v>23</v>
      </c>
      <c r="C51" s="32" t="s">
        <v>32</v>
      </c>
      <c r="D51" s="13">
        <f>(D6*35.00002)</f>
        <v>26250.0002999916</v>
      </c>
      <c r="E51" s="32" t="s">
        <v>462</v>
      </c>
      <c r="F51" s="13">
        <f>(F6*35)</f>
        <v>23100</v>
      </c>
      <c r="G51" s="41">
        <v>17</v>
      </c>
      <c r="H51" s="41">
        <v>17</v>
      </c>
    </row>
    <row r="52" spans="1:8" s="7" customFormat="1" ht="24" customHeight="1">
      <c r="A52" s="35" t="s">
        <v>33</v>
      </c>
      <c r="B52" s="8" t="s">
        <v>517</v>
      </c>
      <c r="C52" s="9"/>
      <c r="D52" s="10"/>
      <c r="E52" s="15"/>
      <c r="F52" s="10"/>
      <c r="G52" s="41">
        <v>18</v>
      </c>
      <c r="H52" s="41">
        <v>18</v>
      </c>
    </row>
    <row r="53" spans="1:8" ht="24" customHeight="1">
      <c r="A53" s="31" t="s">
        <v>35</v>
      </c>
      <c r="B53" s="3" t="s">
        <v>9</v>
      </c>
      <c r="C53" s="32" t="s">
        <v>34</v>
      </c>
      <c r="D53" s="13">
        <f>(D6*1.5)</f>
        <v>1124.99937</v>
      </c>
      <c r="E53" s="32" t="s">
        <v>555</v>
      </c>
      <c r="F53" s="13">
        <f>(F6*1.5)</f>
        <v>990</v>
      </c>
      <c r="G53" s="41">
        <v>19</v>
      </c>
      <c r="H53" s="41">
        <v>19</v>
      </c>
    </row>
    <row r="54" spans="1:8" ht="24" customHeight="1">
      <c r="A54" s="31" t="s">
        <v>36</v>
      </c>
      <c r="B54" s="3" t="s">
        <v>14</v>
      </c>
      <c r="C54" s="32" t="s">
        <v>34</v>
      </c>
      <c r="D54" s="13">
        <f>(D6*1.5)</f>
        <v>1124.99937</v>
      </c>
      <c r="E54" s="32" t="s">
        <v>556</v>
      </c>
      <c r="F54" s="13">
        <f>(F6*1.5)</f>
        <v>990</v>
      </c>
      <c r="G54" s="7">
        <v>20</v>
      </c>
      <c r="H54" s="7">
        <v>20</v>
      </c>
    </row>
    <row r="55" spans="1:8" ht="24" customHeight="1">
      <c r="A55" s="31" t="s">
        <v>37</v>
      </c>
      <c r="B55" s="3" t="s">
        <v>15</v>
      </c>
      <c r="C55" s="32" t="s">
        <v>34</v>
      </c>
      <c r="D55" s="13">
        <f>(D6*3)</f>
        <v>2249.99874</v>
      </c>
      <c r="E55" s="32" t="s">
        <v>512</v>
      </c>
      <c r="F55" s="13">
        <f>(F6*3)</f>
        <v>1980</v>
      </c>
      <c r="G55" s="41">
        <v>21</v>
      </c>
      <c r="H55" s="41">
        <v>21</v>
      </c>
    </row>
    <row r="56" spans="1:8" ht="24" customHeight="1">
      <c r="A56" s="31" t="s">
        <v>38</v>
      </c>
      <c r="B56" s="3" t="s">
        <v>21</v>
      </c>
      <c r="C56" s="32" t="s">
        <v>34</v>
      </c>
      <c r="D56" s="13">
        <f>(D6*7)</f>
        <v>5249.997060000001</v>
      </c>
      <c r="E56" s="32" t="s">
        <v>557</v>
      </c>
      <c r="F56" s="13">
        <f>(F6*7)</f>
        <v>4620</v>
      </c>
      <c r="G56" s="41">
        <v>22</v>
      </c>
      <c r="H56" s="41">
        <v>22</v>
      </c>
    </row>
    <row r="57" spans="1:8" ht="24" customHeight="1">
      <c r="A57" s="31" t="s">
        <v>39</v>
      </c>
      <c r="B57" s="3" t="s">
        <v>22</v>
      </c>
      <c r="C57" s="32" t="s">
        <v>34</v>
      </c>
      <c r="D57" s="13">
        <f>(D6*29.00001)</f>
        <v>21749.9953199958</v>
      </c>
      <c r="E57" s="32" t="s">
        <v>463</v>
      </c>
      <c r="F57" s="13">
        <f>(F6*29)</f>
        <v>19140</v>
      </c>
      <c r="G57" s="41">
        <v>23</v>
      </c>
      <c r="H57" s="41">
        <v>23</v>
      </c>
    </row>
    <row r="58" spans="1:8" ht="24" customHeight="1">
      <c r="A58" s="31" t="s">
        <v>40</v>
      </c>
      <c r="B58" s="3" t="s">
        <v>23</v>
      </c>
      <c r="C58" s="32" t="s">
        <v>34</v>
      </c>
      <c r="D58" s="13">
        <f>(D6*40.00002)</f>
        <v>29999.9981999916</v>
      </c>
      <c r="E58" s="32" t="s">
        <v>464</v>
      </c>
      <c r="F58" s="13">
        <f>(F6*40)</f>
        <v>26400</v>
      </c>
      <c r="G58" s="41">
        <v>24</v>
      </c>
      <c r="H58" s="41">
        <v>24</v>
      </c>
    </row>
    <row r="59" spans="1:8" ht="24" customHeight="1">
      <c r="A59" s="39"/>
      <c r="B59" s="55" t="s">
        <v>41</v>
      </c>
      <c r="C59" s="2"/>
      <c r="D59" s="12"/>
      <c r="E59" s="21"/>
      <c r="F59" s="12"/>
      <c r="G59" s="41">
        <v>25</v>
      </c>
      <c r="H59" s="41">
        <v>25</v>
      </c>
    </row>
    <row r="60" spans="1:8" ht="24" customHeight="1">
      <c r="A60" s="39"/>
      <c r="B60" s="2"/>
      <c r="C60" s="2"/>
      <c r="D60" s="12"/>
      <c r="E60" s="21"/>
      <c r="F60" s="12"/>
      <c r="G60" s="41">
        <v>26</v>
      </c>
      <c r="H60" s="41">
        <v>26</v>
      </c>
    </row>
    <row r="61" spans="7:8" ht="24" customHeight="1">
      <c r="G61" s="41">
        <v>27</v>
      </c>
      <c r="H61" s="41">
        <v>27</v>
      </c>
    </row>
    <row r="62" spans="7:8" ht="24" customHeight="1">
      <c r="G62" s="41">
        <v>28</v>
      </c>
      <c r="H62" s="41">
        <v>28</v>
      </c>
    </row>
    <row r="63" spans="7:8" ht="24" customHeight="1">
      <c r="G63" s="41">
        <v>29</v>
      </c>
      <c r="H63" s="41">
        <v>29</v>
      </c>
    </row>
    <row r="64" spans="7:8" ht="24" customHeight="1">
      <c r="G64" s="41">
        <v>30</v>
      </c>
      <c r="H64" s="41">
        <v>30</v>
      </c>
    </row>
    <row r="65" spans="7:8" ht="24" customHeight="1">
      <c r="G65" s="41">
        <v>31</v>
      </c>
      <c r="H65" s="41">
        <v>31</v>
      </c>
    </row>
    <row r="66" spans="7:8" ht="24" customHeight="1">
      <c r="G66" s="41">
        <v>32</v>
      </c>
      <c r="H66" s="41">
        <v>32</v>
      </c>
    </row>
    <row r="67" spans="7:8" ht="24" customHeight="1">
      <c r="G67" s="41">
        <v>33</v>
      </c>
      <c r="H67" s="41">
        <v>33</v>
      </c>
    </row>
    <row r="68" ht="24" customHeight="1">
      <c r="E68" s="54" t="s">
        <v>217</v>
      </c>
    </row>
    <row r="69" spans="1:8" ht="24" customHeight="1">
      <c r="A69" s="34" t="s">
        <v>516</v>
      </c>
      <c r="B69" s="22"/>
      <c r="C69" s="2"/>
      <c r="D69" s="12"/>
      <c r="E69" s="21"/>
      <c r="F69" s="12"/>
      <c r="G69" s="41">
        <v>1</v>
      </c>
      <c r="H69" s="41">
        <v>1</v>
      </c>
    </row>
    <row r="70" spans="1:8" ht="24" customHeight="1">
      <c r="A70" s="36" t="s">
        <v>43</v>
      </c>
      <c r="B70" s="23" t="s">
        <v>42</v>
      </c>
      <c r="C70" s="24"/>
      <c r="D70" s="25"/>
      <c r="E70" s="26"/>
      <c r="F70" s="25"/>
      <c r="G70" s="41">
        <v>2</v>
      </c>
      <c r="H70" s="41">
        <v>2</v>
      </c>
    </row>
    <row r="71" spans="1:8" ht="24" customHeight="1">
      <c r="A71" s="40" t="s">
        <v>776</v>
      </c>
      <c r="B71" s="18" t="s">
        <v>783</v>
      </c>
      <c r="C71" s="18" t="s">
        <v>772</v>
      </c>
      <c r="D71" s="20" t="s">
        <v>773</v>
      </c>
      <c r="E71" s="18" t="s">
        <v>774</v>
      </c>
      <c r="F71" s="20" t="s">
        <v>773</v>
      </c>
      <c r="G71" s="41">
        <v>3</v>
      </c>
      <c r="H71" s="41">
        <v>3</v>
      </c>
    </row>
    <row r="72" spans="1:8" ht="24" customHeight="1">
      <c r="A72" s="35" t="s">
        <v>45</v>
      </c>
      <c r="B72" s="8" t="s">
        <v>44</v>
      </c>
      <c r="C72" s="9"/>
      <c r="D72" s="10"/>
      <c r="E72" s="15"/>
      <c r="F72" s="10"/>
      <c r="G72" s="7">
        <v>4</v>
      </c>
      <c r="H72" s="7">
        <v>4</v>
      </c>
    </row>
    <row r="73" spans="1:8" ht="33.75" customHeight="1">
      <c r="A73" s="31" t="s">
        <v>46</v>
      </c>
      <c r="B73" s="3"/>
      <c r="C73" s="32" t="s">
        <v>778</v>
      </c>
      <c r="D73" s="13">
        <f>(D6*0.666666)</f>
        <v>499.99922000028</v>
      </c>
      <c r="E73" s="32" t="s">
        <v>465</v>
      </c>
      <c r="F73" s="13">
        <f>(F6*0.69737)</f>
        <v>460.2642</v>
      </c>
      <c r="G73" s="41">
        <v>5</v>
      </c>
      <c r="H73" s="41">
        <v>5</v>
      </c>
    </row>
    <row r="74" spans="1:8" ht="24" customHeight="1">
      <c r="A74" s="31" t="s">
        <v>47</v>
      </c>
      <c r="B74" s="3"/>
      <c r="C74" s="32" t="s">
        <v>779</v>
      </c>
      <c r="D74" s="13">
        <f>(D6*1.5*0.711115)</f>
        <v>800.00392699755</v>
      </c>
      <c r="E74" s="33" t="s">
        <v>466</v>
      </c>
      <c r="F74" s="13">
        <f>(F6*1.5*0.69737)</f>
        <v>690.3963</v>
      </c>
      <c r="G74" s="41">
        <v>6</v>
      </c>
      <c r="H74" s="41">
        <v>6</v>
      </c>
    </row>
    <row r="75" spans="1:8" ht="24" customHeight="1">
      <c r="A75" s="31" t="s">
        <v>48</v>
      </c>
      <c r="B75" s="3"/>
      <c r="C75" s="32" t="s">
        <v>780</v>
      </c>
      <c r="D75" s="13">
        <f>(D6*1.5*0.7111115*2)</f>
        <v>1599.99997899951</v>
      </c>
      <c r="E75" s="33" t="s">
        <v>468</v>
      </c>
      <c r="F75" s="13">
        <f>(F6*3*0.69737)</f>
        <v>1380.7926</v>
      </c>
      <c r="G75" s="41">
        <v>7</v>
      </c>
      <c r="H75" s="41">
        <v>7</v>
      </c>
    </row>
    <row r="76" spans="1:8" ht="24" customHeight="1">
      <c r="A76" s="38" t="s">
        <v>50</v>
      </c>
      <c r="B76" s="8" t="s">
        <v>49</v>
      </c>
      <c r="C76" s="5"/>
      <c r="D76" s="6"/>
      <c r="E76" s="16"/>
      <c r="F76" s="6"/>
      <c r="G76" s="7">
        <v>8</v>
      </c>
      <c r="H76" s="7">
        <v>8</v>
      </c>
    </row>
    <row r="77" spans="1:8" ht="33.75" customHeight="1">
      <c r="A77" s="31" t="s">
        <v>51</v>
      </c>
      <c r="B77" s="3"/>
      <c r="C77" s="32" t="s">
        <v>778</v>
      </c>
      <c r="D77" s="13">
        <f>(D6*0.58333*0.8)</f>
        <v>349.9978040011201</v>
      </c>
      <c r="E77" s="32" t="s">
        <v>469</v>
      </c>
      <c r="F77" s="13">
        <f>(F6*0.6579*0.8)</f>
        <v>347.37120000000004</v>
      </c>
      <c r="G77" s="41">
        <v>9</v>
      </c>
      <c r="H77" s="41">
        <v>9</v>
      </c>
    </row>
    <row r="78" spans="1:8" ht="24" customHeight="1">
      <c r="A78" s="31" t="s">
        <v>52</v>
      </c>
      <c r="B78" s="3"/>
      <c r="C78" s="32" t="s">
        <v>779</v>
      </c>
      <c r="D78" s="13">
        <f>(D6*1.5*0.666666*0.8)</f>
        <v>599.999064000336</v>
      </c>
      <c r="E78" s="33" t="s">
        <v>470</v>
      </c>
      <c r="F78" s="13">
        <f>(F6*1.5*0.6579*0.8)</f>
        <v>521.0568000000001</v>
      </c>
      <c r="G78" s="41">
        <v>10</v>
      </c>
      <c r="H78" s="41">
        <v>10</v>
      </c>
    </row>
    <row r="79" spans="1:8" ht="24" customHeight="1">
      <c r="A79" s="31" t="s">
        <v>53</v>
      </c>
      <c r="B79" s="3"/>
      <c r="C79" s="32" t="s">
        <v>780</v>
      </c>
      <c r="D79" s="13">
        <f>(D6*1.5*0.666666*0.8*2)</f>
        <v>1199.998128000672</v>
      </c>
      <c r="E79" s="33" t="s">
        <v>471</v>
      </c>
      <c r="F79" s="13">
        <f>(F6*3*0.657895*0.8)</f>
        <v>1042.1056800000001</v>
      </c>
      <c r="G79" s="41">
        <v>11</v>
      </c>
      <c r="H79" s="41">
        <v>11</v>
      </c>
    </row>
    <row r="80" spans="1:8" ht="24" customHeight="1">
      <c r="A80" s="38" t="s">
        <v>54</v>
      </c>
      <c r="B80" s="8" t="s">
        <v>55</v>
      </c>
      <c r="C80" s="5"/>
      <c r="D80" s="6"/>
      <c r="E80" s="16"/>
      <c r="F80" s="6"/>
      <c r="G80" s="7">
        <v>12</v>
      </c>
      <c r="H80" s="7">
        <v>12</v>
      </c>
    </row>
    <row r="81" spans="1:8" ht="33.75" customHeight="1">
      <c r="A81" s="31" t="s">
        <v>56</v>
      </c>
      <c r="B81" s="3"/>
      <c r="C81" s="32" t="s">
        <v>778</v>
      </c>
      <c r="D81" s="13">
        <f>(D6*0.6*0.8*10)</f>
        <v>3599.9979840000005</v>
      </c>
      <c r="E81" s="32" t="s">
        <v>472</v>
      </c>
      <c r="F81" s="13">
        <f>(F6*0.657895*0.8*10)</f>
        <v>3473.6856000000007</v>
      </c>
      <c r="G81" s="41">
        <v>13</v>
      </c>
      <c r="H81" s="41">
        <v>13</v>
      </c>
    </row>
    <row r="82" spans="1:8" ht="24" customHeight="1">
      <c r="A82" s="31" t="s">
        <v>57</v>
      </c>
      <c r="B82" s="3"/>
      <c r="C82" s="32" t="s">
        <v>779</v>
      </c>
      <c r="D82" s="13">
        <f>SUM(D6*1.5*0.6*0.8*10)</f>
        <v>5399.996976</v>
      </c>
      <c r="E82" s="33" t="s">
        <v>473</v>
      </c>
      <c r="F82" s="13">
        <f>SUM(F6*1.5*0.657895*0.8*10)</f>
        <v>5210.528400000001</v>
      </c>
      <c r="G82" s="41">
        <v>14</v>
      </c>
      <c r="H82" s="41">
        <v>14</v>
      </c>
    </row>
    <row r="83" spans="1:8" ht="24" customHeight="1">
      <c r="A83" s="31" t="s">
        <v>58</v>
      </c>
      <c r="B83" s="3"/>
      <c r="C83" s="3" t="s">
        <v>780</v>
      </c>
      <c r="D83" s="13">
        <f>SUM(D6*1.5*0.6000001*0.8*10*2)</f>
        <v>10799.995751998993</v>
      </c>
      <c r="E83" s="33" t="s">
        <v>474</v>
      </c>
      <c r="F83" s="13">
        <f>SUM(F6*3*0.657895*0.8*10)</f>
        <v>10421.056800000002</v>
      </c>
      <c r="G83" s="41">
        <v>15</v>
      </c>
      <c r="H83" s="41">
        <v>15</v>
      </c>
    </row>
    <row r="84" spans="1:8" ht="24" customHeight="1">
      <c r="A84" s="38" t="s">
        <v>60</v>
      </c>
      <c r="B84" s="4" t="s">
        <v>59</v>
      </c>
      <c r="C84" s="5"/>
      <c r="D84" s="6"/>
      <c r="E84" s="16"/>
      <c r="F84" s="6"/>
      <c r="G84" s="7">
        <v>16</v>
      </c>
      <c r="H84" s="7">
        <v>16</v>
      </c>
    </row>
    <row r="85" spans="1:8" ht="33.75" customHeight="1">
      <c r="A85" s="31" t="s">
        <v>61</v>
      </c>
      <c r="B85" s="3"/>
      <c r="C85" s="32" t="s">
        <v>778</v>
      </c>
      <c r="D85" s="13">
        <f>SUM(D6*0.6555555*30*0.4)</f>
        <v>5899.99619600028</v>
      </c>
      <c r="E85" s="32" t="s">
        <v>484</v>
      </c>
      <c r="F85" s="13">
        <f>SUM(F6*0.657895*30*0.4)</f>
        <v>5210.528400000001</v>
      </c>
      <c r="G85" s="41">
        <v>17</v>
      </c>
      <c r="H85" s="41">
        <v>17</v>
      </c>
    </row>
    <row r="86" spans="1:8" ht="24" customHeight="1">
      <c r="A86" s="31" t="s">
        <v>62</v>
      </c>
      <c r="B86" s="3"/>
      <c r="C86" s="32" t="s">
        <v>779</v>
      </c>
      <c r="D86" s="13">
        <f>SUM(D6*1.5*0.651852*30*0.4)</f>
        <v>8799.99707199888</v>
      </c>
      <c r="E86" s="33" t="s">
        <v>211</v>
      </c>
      <c r="F86" s="13">
        <f>SUM(F6*1.5*0.657895*30*0.4)</f>
        <v>7815.792600000001</v>
      </c>
      <c r="G86" s="41">
        <v>18</v>
      </c>
      <c r="H86" s="41">
        <v>18</v>
      </c>
    </row>
    <row r="87" spans="1:8" ht="30" customHeight="1">
      <c r="A87" s="31" t="s">
        <v>63</v>
      </c>
      <c r="B87" s="3"/>
      <c r="C87" s="32" t="s">
        <v>780</v>
      </c>
      <c r="D87" s="13">
        <f>SUM(D6*1.5*0.6518524*30*0.4*2)</f>
        <v>17600.004943991717</v>
      </c>
      <c r="E87" s="33" t="s">
        <v>212</v>
      </c>
      <c r="F87" s="13">
        <f>SUM(F6*3*0.6578946*30*0.4)</f>
        <v>15631.575696</v>
      </c>
      <c r="G87" s="41">
        <v>19</v>
      </c>
      <c r="H87" s="41">
        <v>19</v>
      </c>
    </row>
    <row r="88" spans="1:8" ht="24" customHeight="1">
      <c r="A88" s="38" t="s">
        <v>64</v>
      </c>
      <c r="B88" s="4" t="s">
        <v>68</v>
      </c>
      <c r="C88" s="5"/>
      <c r="D88" s="6"/>
      <c r="E88" s="16"/>
      <c r="F88" s="6"/>
      <c r="G88" s="7">
        <v>20</v>
      </c>
      <c r="H88" s="7">
        <v>20</v>
      </c>
    </row>
    <row r="89" spans="1:8" ht="24" customHeight="1">
      <c r="A89" s="31" t="s">
        <v>65</v>
      </c>
      <c r="B89" s="3"/>
      <c r="C89" s="32" t="s">
        <v>807</v>
      </c>
      <c r="D89" s="13">
        <f>(D6*0.65334)</f>
        <v>490.00472559720004</v>
      </c>
      <c r="E89" s="32" t="s">
        <v>213</v>
      </c>
      <c r="F89" s="13">
        <f>(F6*0.657895)</f>
        <v>434.21070000000003</v>
      </c>
      <c r="G89" s="41">
        <v>21</v>
      </c>
      <c r="H89" s="41">
        <v>21</v>
      </c>
    </row>
    <row r="90" spans="1:8" ht="24" customHeight="1">
      <c r="A90" s="31" t="s">
        <v>66</v>
      </c>
      <c r="B90" s="3"/>
      <c r="C90" s="32" t="s">
        <v>808</v>
      </c>
      <c r="D90" s="13">
        <f>(D6*0.65185*0.9)</f>
        <v>439.9985036007</v>
      </c>
      <c r="E90" s="32" t="s">
        <v>262</v>
      </c>
      <c r="F90" s="13">
        <f>(F6*0.657895*0.9)</f>
        <v>390.78963000000005</v>
      </c>
      <c r="G90" s="41">
        <v>22</v>
      </c>
      <c r="H90" s="41">
        <v>22</v>
      </c>
    </row>
    <row r="91" spans="1:8" ht="24" customHeight="1">
      <c r="A91" s="31" t="s">
        <v>67</v>
      </c>
      <c r="B91" s="3"/>
      <c r="C91" s="32" t="s">
        <v>0</v>
      </c>
      <c r="D91" s="13">
        <f>SUM(D6*0.65*0.8)</f>
        <v>389.99978160000006</v>
      </c>
      <c r="E91" s="33" t="s">
        <v>263</v>
      </c>
      <c r="F91" s="13">
        <f>SUM(F6*0.657895*0.8)</f>
        <v>347.36856000000006</v>
      </c>
      <c r="G91" s="41">
        <v>23</v>
      </c>
      <c r="H91" s="41">
        <v>23</v>
      </c>
    </row>
    <row r="92" spans="1:8" ht="24" customHeight="1">
      <c r="A92" s="38" t="s">
        <v>69</v>
      </c>
      <c r="B92" s="4" t="s">
        <v>73</v>
      </c>
      <c r="C92" s="5"/>
      <c r="D92" s="6"/>
      <c r="E92" s="16"/>
      <c r="F92" s="6"/>
      <c r="G92" s="41">
        <v>24</v>
      </c>
      <c r="H92" s="41">
        <v>24</v>
      </c>
    </row>
    <row r="93" spans="1:8" ht="24" customHeight="1">
      <c r="A93" s="31" t="s">
        <v>70</v>
      </c>
      <c r="B93" s="3"/>
      <c r="C93" s="32" t="s">
        <v>16</v>
      </c>
      <c r="D93" s="13">
        <f>(D6*0.4)</f>
        <v>299.999832</v>
      </c>
      <c r="E93" s="32" t="s">
        <v>268</v>
      </c>
      <c r="F93" s="13">
        <f>(F6*0.36842)</f>
        <v>243.15720000000002</v>
      </c>
      <c r="G93" s="41">
        <v>25</v>
      </c>
      <c r="H93" s="41">
        <v>25</v>
      </c>
    </row>
    <row r="94" spans="1:8" ht="24" customHeight="1">
      <c r="A94" s="31" t="s">
        <v>71</v>
      </c>
      <c r="B94" s="3"/>
      <c r="C94" s="32" t="s">
        <v>16</v>
      </c>
      <c r="D94" s="13">
        <f>(D6*0.4)</f>
        <v>299.999832</v>
      </c>
      <c r="E94" s="32" t="s">
        <v>269</v>
      </c>
      <c r="F94" s="13">
        <f>(F6*0.36842)</f>
        <v>243.15720000000002</v>
      </c>
      <c r="G94" s="41">
        <v>26</v>
      </c>
      <c r="H94" s="41">
        <v>26</v>
      </c>
    </row>
    <row r="95" spans="1:8" ht="30" customHeight="1">
      <c r="A95" s="31" t="s">
        <v>72</v>
      </c>
      <c r="B95" s="3"/>
      <c r="C95" s="32" t="s">
        <v>16</v>
      </c>
      <c r="D95" s="13">
        <f>(D6*0.73333)</f>
        <v>549.9971920014001</v>
      </c>
      <c r="E95" s="33" t="s">
        <v>264</v>
      </c>
      <c r="F95" s="13">
        <f>(F6*0.75)</f>
        <v>495</v>
      </c>
      <c r="G95" s="41">
        <v>27</v>
      </c>
      <c r="H95" s="41">
        <v>27</v>
      </c>
    </row>
    <row r="96" spans="1:8" ht="24" customHeight="1">
      <c r="A96" s="31" t="s">
        <v>74</v>
      </c>
      <c r="B96" s="3"/>
      <c r="C96" s="32" t="s">
        <v>16</v>
      </c>
      <c r="D96" s="13">
        <f>(D6*1.33333)</f>
        <v>999.9969400013999</v>
      </c>
      <c r="E96" s="33" t="s">
        <v>265</v>
      </c>
      <c r="F96" s="13">
        <f>(F6*1.51316)</f>
        <v>998.6856</v>
      </c>
      <c r="G96" s="41">
        <v>28</v>
      </c>
      <c r="H96" s="41">
        <v>28</v>
      </c>
    </row>
    <row r="97" spans="1:8" ht="24" customHeight="1">
      <c r="A97" s="31" t="s">
        <v>75</v>
      </c>
      <c r="B97" s="3"/>
      <c r="C97" s="32" t="s">
        <v>16</v>
      </c>
      <c r="D97" s="13">
        <f>(D6*0.73333)</f>
        <v>549.9971920014001</v>
      </c>
      <c r="E97" s="33" t="s">
        <v>266</v>
      </c>
      <c r="F97" s="13">
        <f>(F6*0.75)</f>
        <v>495</v>
      </c>
      <c r="G97" s="41">
        <v>29</v>
      </c>
      <c r="H97" s="41">
        <v>29</v>
      </c>
    </row>
    <row r="98" spans="1:8" ht="24" customHeight="1">
      <c r="A98" s="31" t="s">
        <v>76</v>
      </c>
      <c r="B98" s="3"/>
      <c r="C98" s="32" t="s">
        <v>16</v>
      </c>
      <c r="D98" s="13">
        <f>(D6*1.33333)</f>
        <v>999.9969400013999</v>
      </c>
      <c r="E98" s="33" t="s">
        <v>267</v>
      </c>
      <c r="F98" s="13">
        <f>(F6*1.51316)</f>
        <v>998.6856</v>
      </c>
      <c r="G98" s="41">
        <v>30</v>
      </c>
      <c r="H98" s="41">
        <v>30</v>
      </c>
    </row>
    <row r="99" spans="1:8" ht="24" customHeight="1">
      <c r="A99" s="39"/>
      <c r="B99" s="2"/>
      <c r="C99" s="2"/>
      <c r="D99" s="12"/>
      <c r="E99" s="21"/>
      <c r="F99" s="12"/>
      <c r="G99" s="41">
        <v>31</v>
      </c>
      <c r="H99" s="41">
        <v>31</v>
      </c>
    </row>
    <row r="100" spans="1:8" ht="24" customHeight="1">
      <c r="A100" s="39"/>
      <c r="B100" s="2"/>
      <c r="C100" s="2"/>
      <c r="D100" s="12"/>
      <c r="E100" s="21"/>
      <c r="F100" s="12"/>
      <c r="G100" s="41">
        <v>32</v>
      </c>
      <c r="H100" s="41">
        <v>32</v>
      </c>
    </row>
    <row r="101" ht="24" customHeight="1">
      <c r="E101" s="54" t="s">
        <v>218</v>
      </c>
    </row>
    <row r="102" spans="1:8" ht="24" customHeight="1">
      <c r="A102" s="34" t="s">
        <v>516</v>
      </c>
      <c r="B102" s="22"/>
      <c r="C102" s="2"/>
      <c r="D102" s="12"/>
      <c r="E102" s="21"/>
      <c r="F102" s="12"/>
      <c r="G102" s="41">
        <v>1</v>
      </c>
      <c r="H102" s="41">
        <v>1</v>
      </c>
    </row>
    <row r="103" spans="1:8" s="19" customFormat="1" ht="24" customHeight="1">
      <c r="A103" s="36" t="s">
        <v>43</v>
      </c>
      <c r="B103" s="23" t="s">
        <v>42</v>
      </c>
      <c r="C103" s="24"/>
      <c r="D103" s="25"/>
      <c r="E103" s="26"/>
      <c r="F103" s="25"/>
      <c r="G103" s="41">
        <v>2</v>
      </c>
      <c r="H103" s="41">
        <v>2</v>
      </c>
    </row>
    <row r="104" spans="1:8" s="11" customFormat="1" ht="24" customHeight="1">
      <c r="A104" s="40" t="s">
        <v>776</v>
      </c>
      <c r="B104" s="18" t="s">
        <v>783</v>
      </c>
      <c r="C104" s="18" t="s">
        <v>772</v>
      </c>
      <c r="D104" s="20" t="s">
        <v>773</v>
      </c>
      <c r="E104" s="18" t="s">
        <v>774</v>
      </c>
      <c r="F104" s="20" t="s">
        <v>773</v>
      </c>
      <c r="G104" s="41">
        <v>3</v>
      </c>
      <c r="H104" s="41">
        <v>3</v>
      </c>
    </row>
    <row r="105" spans="1:8" s="7" customFormat="1" ht="24" customHeight="1">
      <c r="A105" s="35" t="s">
        <v>77</v>
      </c>
      <c r="B105" s="8" t="s">
        <v>161</v>
      </c>
      <c r="C105" s="9"/>
      <c r="D105" s="10"/>
      <c r="E105" s="15"/>
      <c r="F105" s="10"/>
      <c r="G105" s="7">
        <v>4</v>
      </c>
      <c r="H105" s="7">
        <v>4</v>
      </c>
    </row>
    <row r="106" spans="1:8" ht="24" customHeight="1">
      <c r="A106" s="31" t="s">
        <v>78</v>
      </c>
      <c r="B106" s="3" t="s">
        <v>15</v>
      </c>
      <c r="C106" s="32" t="s">
        <v>16</v>
      </c>
      <c r="D106" s="13">
        <f>(D6*3.066666)</f>
        <v>2299.99821200028</v>
      </c>
      <c r="E106" s="32" t="s">
        <v>270</v>
      </c>
      <c r="F106" s="13">
        <f>(F6*3.15)</f>
        <v>2079</v>
      </c>
      <c r="G106" s="41">
        <v>5</v>
      </c>
      <c r="H106" s="41">
        <v>5</v>
      </c>
    </row>
    <row r="107" spans="1:8" ht="24" customHeight="1">
      <c r="A107" s="31" t="s">
        <v>79</v>
      </c>
      <c r="B107" s="3" t="s">
        <v>82</v>
      </c>
      <c r="C107" s="32" t="s">
        <v>17</v>
      </c>
      <c r="D107" s="13">
        <f>(D6*10)</f>
        <v>7499.995800000001</v>
      </c>
      <c r="E107" s="32" t="s">
        <v>558</v>
      </c>
      <c r="F107" s="13">
        <f>(F6*10)</f>
        <v>6600</v>
      </c>
      <c r="G107" s="41">
        <v>6</v>
      </c>
      <c r="H107" s="41">
        <v>6</v>
      </c>
    </row>
    <row r="108" spans="1:8" ht="24" customHeight="1">
      <c r="A108" s="31" t="s">
        <v>80</v>
      </c>
      <c r="B108" s="3" t="s">
        <v>83</v>
      </c>
      <c r="C108" s="32" t="s">
        <v>16</v>
      </c>
      <c r="D108" s="13">
        <f>(D6*24.00001)</f>
        <v>17999.9974199958</v>
      </c>
      <c r="E108" s="32" t="s">
        <v>271</v>
      </c>
      <c r="F108" s="13">
        <f>(F6*25)</f>
        <v>16500</v>
      </c>
      <c r="G108" s="41">
        <v>7</v>
      </c>
      <c r="H108" s="41">
        <v>7</v>
      </c>
    </row>
    <row r="109" spans="1:8" ht="24" customHeight="1">
      <c r="A109" s="31" t="s">
        <v>81</v>
      </c>
      <c r="B109" s="3" t="s">
        <v>84</v>
      </c>
      <c r="C109" s="32" t="s">
        <v>16</v>
      </c>
      <c r="D109" s="13">
        <f>(D6*30.00002)</f>
        <v>22500.0023999916</v>
      </c>
      <c r="E109" s="32" t="s">
        <v>279</v>
      </c>
      <c r="F109" s="13">
        <f>(F6*30)</f>
        <v>19800</v>
      </c>
      <c r="G109" s="7">
        <v>8</v>
      </c>
      <c r="H109" s="7">
        <v>8</v>
      </c>
    </row>
    <row r="110" spans="1:8" s="7" customFormat="1" ht="24" customHeight="1">
      <c r="A110" s="35" t="s">
        <v>87</v>
      </c>
      <c r="B110" s="8" t="s">
        <v>85</v>
      </c>
      <c r="C110" s="9"/>
      <c r="D110" s="10"/>
      <c r="E110" s="15"/>
      <c r="F110" s="10"/>
      <c r="G110" s="41">
        <v>9</v>
      </c>
      <c r="H110" s="41">
        <v>9</v>
      </c>
    </row>
    <row r="111" spans="1:8" ht="24" customHeight="1">
      <c r="A111" s="31" t="s">
        <v>78</v>
      </c>
      <c r="B111" s="3" t="s">
        <v>15</v>
      </c>
      <c r="C111" s="32" t="s">
        <v>32</v>
      </c>
      <c r="D111" s="13">
        <f>(D6*3.15*0.380953)</f>
        <v>900.000958499181</v>
      </c>
      <c r="E111" s="32" t="s">
        <v>280</v>
      </c>
      <c r="F111" s="13">
        <f>(F6*3.15*0.396825)</f>
        <v>824.9991749999999</v>
      </c>
      <c r="G111" s="41">
        <v>10</v>
      </c>
      <c r="H111" s="41">
        <v>10</v>
      </c>
    </row>
    <row r="112" spans="1:8" ht="24" customHeight="1">
      <c r="A112" s="31" t="s">
        <v>79</v>
      </c>
      <c r="B112" s="3" t="s">
        <v>82</v>
      </c>
      <c r="C112" s="32" t="s">
        <v>32</v>
      </c>
      <c r="D112" s="13">
        <f>(D6*5)</f>
        <v>3749.9979000000003</v>
      </c>
      <c r="E112" s="32" t="s">
        <v>559</v>
      </c>
      <c r="F112" s="13">
        <f>(F6*5)</f>
        <v>3300</v>
      </c>
      <c r="G112" s="41">
        <v>11</v>
      </c>
      <c r="H112" s="41">
        <v>11</v>
      </c>
    </row>
    <row r="113" spans="1:8" ht="24" customHeight="1">
      <c r="A113" s="31" t="s">
        <v>80</v>
      </c>
      <c r="B113" s="3" t="s">
        <v>83</v>
      </c>
      <c r="C113" s="32" t="s">
        <v>32</v>
      </c>
      <c r="D113" s="13">
        <f>(D6*14.80001)</f>
        <v>11100.0012839958</v>
      </c>
      <c r="E113" s="32" t="s">
        <v>281</v>
      </c>
      <c r="F113" s="13">
        <f>(F6*15)</f>
        <v>9900</v>
      </c>
      <c r="G113" s="7">
        <v>12</v>
      </c>
      <c r="H113" s="7">
        <v>12</v>
      </c>
    </row>
    <row r="114" spans="1:8" ht="24" customHeight="1">
      <c r="A114" s="31" t="s">
        <v>81</v>
      </c>
      <c r="B114" s="3" t="s">
        <v>84</v>
      </c>
      <c r="C114" s="32" t="s">
        <v>32</v>
      </c>
      <c r="D114" s="13">
        <f>(D6*20.00001)</f>
        <v>14999.9990999958</v>
      </c>
      <c r="E114" s="32" t="s">
        <v>417</v>
      </c>
      <c r="F114" s="13">
        <f>(F6*20)</f>
        <v>13200</v>
      </c>
      <c r="G114" s="41">
        <v>13</v>
      </c>
      <c r="H114" s="41">
        <v>13</v>
      </c>
    </row>
    <row r="115" spans="1:8" s="7" customFormat="1" ht="24" customHeight="1">
      <c r="A115" s="35" t="s">
        <v>92</v>
      </c>
      <c r="B115" s="8" t="s">
        <v>86</v>
      </c>
      <c r="C115" s="9"/>
      <c r="D115" s="10"/>
      <c r="E115" s="15"/>
      <c r="F115" s="10"/>
      <c r="G115" s="41">
        <v>14</v>
      </c>
      <c r="H115" s="41">
        <v>14</v>
      </c>
    </row>
    <row r="116" spans="1:8" ht="24" customHeight="1">
      <c r="A116" s="31" t="s">
        <v>88</v>
      </c>
      <c r="B116" s="3" t="s">
        <v>15</v>
      </c>
      <c r="C116" s="32" t="s">
        <v>34</v>
      </c>
      <c r="D116" s="13">
        <f>(D6*3.15*0.444444)</f>
        <v>1049.998362000588</v>
      </c>
      <c r="E116" s="32" t="s">
        <v>418</v>
      </c>
      <c r="F116" s="13">
        <f>(F6*3.15*0.44695)</f>
        <v>929.20905</v>
      </c>
      <c r="G116" s="41">
        <v>15</v>
      </c>
      <c r="H116" s="41">
        <v>15</v>
      </c>
    </row>
    <row r="117" spans="1:8" ht="24" customHeight="1">
      <c r="A117" s="31" t="s">
        <v>89</v>
      </c>
      <c r="B117" s="3" t="s">
        <v>82</v>
      </c>
      <c r="C117" s="32" t="s">
        <v>34</v>
      </c>
      <c r="D117" s="13">
        <f>(D6*5.6)</f>
        <v>4199.997648</v>
      </c>
      <c r="E117" s="32" t="s">
        <v>419</v>
      </c>
      <c r="F117" s="13">
        <f>(F6*5.60526)</f>
        <v>3699.4716000000003</v>
      </c>
      <c r="G117" s="7">
        <v>16</v>
      </c>
      <c r="H117" s="7">
        <v>16</v>
      </c>
    </row>
    <row r="118" spans="1:8" ht="24" customHeight="1">
      <c r="A118" s="31" t="s">
        <v>90</v>
      </c>
      <c r="B118" s="3" t="s">
        <v>83</v>
      </c>
      <c r="C118" s="32" t="s">
        <v>34</v>
      </c>
      <c r="D118" s="13">
        <f>(D6*16.66667)</f>
        <v>12499.9954999986</v>
      </c>
      <c r="E118" s="32" t="s">
        <v>420</v>
      </c>
      <c r="F118" s="13">
        <f>(F6*16.67105)</f>
        <v>11002.893</v>
      </c>
      <c r="G118" s="41">
        <v>17</v>
      </c>
      <c r="H118" s="41">
        <v>17</v>
      </c>
    </row>
    <row r="119" spans="1:8" ht="24" customHeight="1">
      <c r="A119" s="31" t="s">
        <v>91</v>
      </c>
      <c r="B119" s="3" t="s">
        <v>84</v>
      </c>
      <c r="C119" s="32" t="s">
        <v>34</v>
      </c>
      <c r="D119" s="13">
        <f>(D6*22.26668)</f>
        <v>16700.000647994402</v>
      </c>
      <c r="E119" s="32" t="s">
        <v>421</v>
      </c>
      <c r="F119" s="13">
        <f>(F6*22.27632)</f>
        <v>14702.3712</v>
      </c>
      <c r="G119" s="41">
        <v>18</v>
      </c>
      <c r="H119" s="41">
        <v>18</v>
      </c>
    </row>
    <row r="120" spans="1:8" s="7" customFormat="1" ht="24" customHeight="1">
      <c r="A120" s="35" t="s">
        <v>95</v>
      </c>
      <c r="B120" s="8" t="s">
        <v>167</v>
      </c>
      <c r="C120" s="9"/>
      <c r="D120" s="10"/>
      <c r="E120" s="15"/>
      <c r="F120" s="10"/>
      <c r="G120" s="41">
        <v>19</v>
      </c>
      <c r="H120" s="41">
        <v>19</v>
      </c>
    </row>
    <row r="121" spans="1:8" ht="24" customHeight="1">
      <c r="A121" s="31" t="s">
        <v>93</v>
      </c>
      <c r="B121" s="3" t="s">
        <v>102</v>
      </c>
      <c r="C121" s="32" t="s">
        <v>16</v>
      </c>
      <c r="D121" s="13">
        <f>(D6*100.00005)</f>
        <v>74999.995499979</v>
      </c>
      <c r="E121" s="32" t="s">
        <v>422</v>
      </c>
      <c r="F121" s="13">
        <f>(F6*100)</f>
        <v>66000</v>
      </c>
      <c r="G121" s="7">
        <v>20</v>
      </c>
      <c r="H121" s="7">
        <v>20</v>
      </c>
    </row>
    <row r="122" spans="1:8" ht="24" customHeight="1">
      <c r="A122" s="31" t="s">
        <v>94</v>
      </c>
      <c r="B122" s="3" t="s">
        <v>103</v>
      </c>
      <c r="C122" s="32" t="s">
        <v>16</v>
      </c>
      <c r="D122" s="13">
        <f>(D6*10)</f>
        <v>7499.995800000001</v>
      </c>
      <c r="E122" s="32" t="s">
        <v>104</v>
      </c>
      <c r="F122" s="13">
        <f>(F6*10)</f>
        <v>6600</v>
      </c>
      <c r="G122" s="41">
        <v>21</v>
      </c>
      <c r="H122" s="41">
        <v>21</v>
      </c>
    </row>
    <row r="123" spans="1:8" s="7" customFormat="1" ht="24" customHeight="1">
      <c r="A123" s="35" t="s">
        <v>98</v>
      </c>
      <c r="B123" s="8" t="s">
        <v>101</v>
      </c>
      <c r="C123" s="9"/>
      <c r="D123" s="10"/>
      <c r="E123" s="15"/>
      <c r="F123" s="10"/>
      <c r="G123" s="41">
        <v>22</v>
      </c>
      <c r="H123" s="41">
        <v>22</v>
      </c>
    </row>
    <row r="124" spans="1:8" ht="24" customHeight="1">
      <c r="A124" s="31" t="s">
        <v>96</v>
      </c>
      <c r="B124" s="3" t="s">
        <v>102</v>
      </c>
      <c r="C124" s="32" t="s">
        <v>32</v>
      </c>
      <c r="D124" s="13">
        <f>(D6*50.00003)</f>
        <v>37500.001499987404</v>
      </c>
      <c r="E124" s="32" t="s">
        <v>423</v>
      </c>
      <c r="F124" s="13">
        <f>(F6*50)</f>
        <v>33000</v>
      </c>
      <c r="G124" s="41">
        <v>23</v>
      </c>
      <c r="H124" s="41">
        <v>23</v>
      </c>
    </row>
    <row r="125" spans="1:8" ht="24" customHeight="1">
      <c r="A125" s="31" t="s">
        <v>97</v>
      </c>
      <c r="B125" s="3" t="s">
        <v>103</v>
      </c>
      <c r="C125" s="32" t="s">
        <v>32</v>
      </c>
      <c r="D125" s="13">
        <f>(D6*5)</f>
        <v>3749.9979000000003</v>
      </c>
      <c r="E125" s="32" t="s">
        <v>560</v>
      </c>
      <c r="F125" s="13">
        <f>(F6*5)</f>
        <v>3300</v>
      </c>
      <c r="G125" s="41">
        <v>24</v>
      </c>
      <c r="H125" s="41">
        <v>24</v>
      </c>
    </row>
    <row r="126" spans="1:8" s="7" customFormat="1" ht="24" customHeight="1">
      <c r="A126" s="35" t="s">
        <v>771</v>
      </c>
      <c r="B126" s="8" t="s">
        <v>86</v>
      </c>
      <c r="C126" s="9"/>
      <c r="D126" s="10"/>
      <c r="E126" s="15"/>
      <c r="F126" s="10"/>
      <c r="G126" s="41">
        <v>25</v>
      </c>
      <c r="H126" s="41">
        <v>25</v>
      </c>
    </row>
    <row r="127" spans="1:8" ht="24" customHeight="1">
      <c r="A127" s="31" t="s">
        <v>99</v>
      </c>
      <c r="B127" s="3" t="s">
        <v>102</v>
      </c>
      <c r="C127" s="32" t="s">
        <v>34</v>
      </c>
      <c r="D127" s="13">
        <f>(D6*60.00004)</f>
        <v>45000.0047999832</v>
      </c>
      <c r="E127" s="32" t="s">
        <v>424</v>
      </c>
      <c r="F127" s="13">
        <f>(F6*60)</f>
        <v>39600</v>
      </c>
      <c r="G127" s="41">
        <v>26</v>
      </c>
      <c r="H127" s="41">
        <v>26</v>
      </c>
    </row>
    <row r="128" spans="1:8" ht="24" customHeight="1">
      <c r="A128" s="31" t="s">
        <v>100</v>
      </c>
      <c r="B128" s="3" t="s">
        <v>103</v>
      </c>
      <c r="C128" s="32" t="s">
        <v>34</v>
      </c>
      <c r="D128" s="13">
        <f>(D6*6)</f>
        <v>4499.99748</v>
      </c>
      <c r="E128" s="32" t="s">
        <v>561</v>
      </c>
      <c r="F128" s="13">
        <f>(F6*6)</f>
        <v>3960</v>
      </c>
      <c r="G128" s="41">
        <v>27</v>
      </c>
      <c r="H128" s="41">
        <v>27</v>
      </c>
    </row>
    <row r="129" spans="7:8" ht="24" customHeight="1">
      <c r="G129" s="41">
        <v>28</v>
      </c>
      <c r="H129" s="41">
        <v>28</v>
      </c>
    </row>
    <row r="130" spans="7:8" ht="24" customHeight="1">
      <c r="G130" s="41">
        <v>29</v>
      </c>
      <c r="H130" s="41">
        <v>29</v>
      </c>
    </row>
    <row r="131" spans="7:8" ht="24" customHeight="1">
      <c r="G131" s="41">
        <v>30</v>
      </c>
      <c r="H131" s="41">
        <v>30</v>
      </c>
    </row>
    <row r="132" spans="7:8" ht="24" customHeight="1">
      <c r="G132" s="41">
        <v>31</v>
      </c>
      <c r="H132" s="41">
        <v>31</v>
      </c>
    </row>
    <row r="133" spans="7:8" ht="24" customHeight="1">
      <c r="G133" s="41">
        <v>32</v>
      </c>
      <c r="H133" s="41">
        <v>32</v>
      </c>
    </row>
    <row r="134" spans="7:8" ht="24" customHeight="1">
      <c r="G134" s="41">
        <v>32</v>
      </c>
      <c r="H134" s="41">
        <v>32</v>
      </c>
    </row>
    <row r="135" ht="24" customHeight="1">
      <c r="E135" s="54" t="s">
        <v>214</v>
      </c>
    </row>
    <row r="136" spans="1:8" ht="24" customHeight="1">
      <c r="A136" s="34" t="s">
        <v>516</v>
      </c>
      <c r="B136" s="22"/>
      <c r="C136" s="2"/>
      <c r="D136" s="12"/>
      <c r="E136" s="21"/>
      <c r="F136" s="12"/>
      <c r="G136" s="41">
        <v>1</v>
      </c>
      <c r="H136" s="41">
        <v>1</v>
      </c>
    </row>
    <row r="137" spans="1:8" s="19" customFormat="1" ht="24" customHeight="1">
      <c r="A137" s="36" t="s">
        <v>105</v>
      </c>
      <c r="B137" s="23" t="s">
        <v>179</v>
      </c>
      <c r="C137" s="24"/>
      <c r="D137" s="25"/>
      <c r="E137" s="26"/>
      <c r="F137" s="25"/>
      <c r="G137" s="41">
        <v>2</v>
      </c>
      <c r="H137" s="41">
        <v>2</v>
      </c>
    </row>
    <row r="138" spans="1:8" s="11" customFormat="1" ht="24" customHeight="1">
      <c r="A138" s="40" t="s">
        <v>776</v>
      </c>
      <c r="B138" s="18" t="s">
        <v>783</v>
      </c>
      <c r="C138" s="18" t="s">
        <v>772</v>
      </c>
      <c r="D138" s="20" t="s">
        <v>773</v>
      </c>
      <c r="E138" s="18" t="s">
        <v>774</v>
      </c>
      <c r="F138" s="20" t="s">
        <v>773</v>
      </c>
      <c r="G138" s="41">
        <v>3</v>
      </c>
      <c r="H138" s="41">
        <v>3</v>
      </c>
    </row>
    <row r="139" spans="1:8" s="7" customFormat="1" ht="24" customHeight="1">
      <c r="A139" s="35" t="s">
        <v>106</v>
      </c>
      <c r="B139" s="8" t="s">
        <v>160</v>
      </c>
      <c r="C139" s="9"/>
      <c r="D139" s="10"/>
      <c r="E139" s="15"/>
      <c r="F139" s="10"/>
      <c r="G139" s="7">
        <v>4</v>
      </c>
      <c r="H139" s="7">
        <v>4</v>
      </c>
    </row>
    <row r="140" spans="1:8" ht="24" customHeight="1">
      <c r="A140" s="31" t="s">
        <v>107</v>
      </c>
      <c r="B140" s="3" t="s">
        <v>111</v>
      </c>
      <c r="C140" s="32" t="s">
        <v>16</v>
      </c>
      <c r="D140" s="13">
        <f>(D6*5.5)</f>
        <v>4124.99769</v>
      </c>
      <c r="E140" s="32" t="s">
        <v>254</v>
      </c>
      <c r="F140" s="13">
        <f>(F6*5.5)</f>
        <v>3630</v>
      </c>
      <c r="G140" s="41">
        <v>5</v>
      </c>
      <c r="H140" s="41">
        <v>5</v>
      </c>
    </row>
    <row r="141" spans="1:8" ht="24" customHeight="1">
      <c r="A141" s="31" t="s">
        <v>108</v>
      </c>
      <c r="B141" s="3" t="s">
        <v>112</v>
      </c>
      <c r="C141" s="32" t="s">
        <v>17</v>
      </c>
      <c r="D141" s="13">
        <f>(D6*11)</f>
        <v>8249.99538</v>
      </c>
      <c r="E141" s="32" t="s">
        <v>255</v>
      </c>
      <c r="F141" s="13">
        <f>(F6*11)</f>
        <v>7260</v>
      </c>
      <c r="G141" s="41">
        <v>6</v>
      </c>
      <c r="H141" s="41">
        <v>6</v>
      </c>
    </row>
    <row r="142" spans="1:8" ht="24" customHeight="1">
      <c r="A142" s="31" t="s">
        <v>109</v>
      </c>
      <c r="B142" s="3" t="s">
        <v>113</v>
      </c>
      <c r="C142" s="32" t="s">
        <v>16</v>
      </c>
      <c r="D142" s="13">
        <f>(D6*16.46667)</f>
        <v>12349.995583998601</v>
      </c>
      <c r="E142" s="32" t="s">
        <v>425</v>
      </c>
      <c r="F142" s="13">
        <f>(F6*16.5)</f>
        <v>10890</v>
      </c>
      <c r="G142" s="41">
        <v>7</v>
      </c>
      <c r="H142" s="41">
        <v>7</v>
      </c>
    </row>
    <row r="143" spans="1:8" ht="24" customHeight="1">
      <c r="A143" s="31" t="s">
        <v>110</v>
      </c>
      <c r="B143" s="3" t="s">
        <v>114</v>
      </c>
      <c r="C143" s="32" t="s">
        <v>16</v>
      </c>
      <c r="D143" s="13">
        <f>(D6*33.00002)</f>
        <v>24750.0011399916</v>
      </c>
      <c r="E143" s="32" t="s">
        <v>426</v>
      </c>
      <c r="F143" s="13">
        <f>(F6*33)</f>
        <v>21780</v>
      </c>
      <c r="G143" s="7">
        <v>8</v>
      </c>
      <c r="H143" s="7">
        <v>8</v>
      </c>
    </row>
    <row r="144" spans="1:8" s="7" customFormat="1" ht="24" customHeight="1">
      <c r="A144" s="35" t="s">
        <v>115</v>
      </c>
      <c r="B144" s="8" t="s">
        <v>157</v>
      </c>
      <c r="C144" s="9"/>
      <c r="D144" s="10"/>
      <c r="E144" s="15"/>
      <c r="F144" s="10"/>
      <c r="G144" s="41">
        <v>9</v>
      </c>
      <c r="H144" s="41">
        <v>9</v>
      </c>
    </row>
    <row r="145" spans="1:8" ht="24" customHeight="1">
      <c r="A145" s="31" t="s">
        <v>116</v>
      </c>
      <c r="B145" s="3" t="s">
        <v>111</v>
      </c>
      <c r="C145" s="32" t="s">
        <v>32</v>
      </c>
      <c r="D145" s="13">
        <f>(D6*2.746666)</f>
        <v>2059.99834640028</v>
      </c>
      <c r="E145" s="32" t="s">
        <v>253</v>
      </c>
      <c r="F145" s="13">
        <f>(F6*2.75)</f>
        <v>1815</v>
      </c>
      <c r="G145" s="41">
        <v>10</v>
      </c>
      <c r="H145" s="41">
        <v>10</v>
      </c>
    </row>
    <row r="146" spans="1:8" ht="24" customHeight="1">
      <c r="A146" s="31" t="s">
        <v>117</v>
      </c>
      <c r="B146" s="3" t="s">
        <v>112</v>
      </c>
      <c r="C146" s="32" t="s">
        <v>32</v>
      </c>
      <c r="D146" s="13">
        <f>(D6*2.746666*2)</f>
        <v>4119.99669280056</v>
      </c>
      <c r="E146" s="32" t="s">
        <v>256</v>
      </c>
      <c r="F146" s="13">
        <f>(F6*5.5)</f>
        <v>3630</v>
      </c>
      <c r="G146" s="41">
        <v>11</v>
      </c>
      <c r="H146" s="41">
        <v>11</v>
      </c>
    </row>
    <row r="147" spans="1:8" ht="24" customHeight="1">
      <c r="A147" s="31" t="s">
        <v>118</v>
      </c>
      <c r="B147" s="3" t="s">
        <v>113</v>
      </c>
      <c r="C147" s="32" t="s">
        <v>32</v>
      </c>
      <c r="D147" s="13">
        <f>(D6*8.266666)</f>
        <v>6199.996028000281</v>
      </c>
      <c r="E147" s="32" t="s">
        <v>427</v>
      </c>
      <c r="F147" s="13">
        <f>(F6*8.25)</f>
        <v>5445</v>
      </c>
      <c r="G147" s="7">
        <v>12</v>
      </c>
      <c r="H147" s="7">
        <v>12</v>
      </c>
    </row>
    <row r="148" spans="1:8" ht="24" customHeight="1">
      <c r="A148" s="31" t="s">
        <v>119</v>
      </c>
      <c r="B148" s="3" t="s">
        <v>114</v>
      </c>
      <c r="C148" s="32" t="s">
        <v>32</v>
      </c>
      <c r="D148" s="13">
        <f>(D6*8.26667*2)</f>
        <v>12399.9980559972</v>
      </c>
      <c r="E148" s="32" t="s">
        <v>562</v>
      </c>
      <c r="F148" s="13">
        <f>(F6*16.5)</f>
        <v>10890</v>
      </c>
      <c r="G148" s="41">
        <v>13</v>
      </c>
      <c r="H148" s="41">
        <v>13</v>
      </c>
    </row>
    <row r="149" spans="1:8" s="7" customFormat="1" ht="24" customHeight="1">
      <c r="A149" s="35" t="s">
        <v>158</v>
      </c>
      <c r="B149" s="8" t="s">
        <v>513</v>
      </c>
      <c r="C149" s="9"/>
      <c r="D149" s="10"/>
      <c r="E149" s="15"/>
      <c r="F149" s="10"/>
      <c r="G149" s="41">
        <v>14</v>
      </c>
      <c r="H149" s="41">
        <v>14</v>
      </c>
    </row>
    <row r="150" spans="1:8" ht="24" customHeight="1">
      <c r="A150" s="31" t="s">
        <v>159</v>
      </c>
      <c r="B150" s="3" t="s">
        <v>111</v>
      </c>
      <c r="C150" s="32" t="s">
        <v>34</v>
      </c>
      <c r="D150" s="13">
        <f>(D6*3)</f>
        <v>2249.99874</v>
      </c>
      <c r="E150" s="32" t="s">
        <v>257</v>
      </c>
      <c r="F150" s="13">
        <f>(F6*3)</f>
        <v>1980</v>
      </c>
      <c r="G150" s="41">
        <v>15</v>
      </c>
      <c r="H150" s="41">
        <v>15</v>
      </c>
    </row>
    <row r="151" spans="1:8" ht="24" customHeight="1">
      <c r="A151" s="31" t="s">
        <v>163</v>
      </c>
      <c r="B151" s="3" t="s">
        <v>112</v>
      </c>
      <c r="C151" s="32" t="s">
        <v>34</v>
      </c>
      <c r="D151" s="13">
        <f>(D6*6.066666)</f>
        <v>4549.99695200028</v>
      </c>
      <c r="E151" s="32" t="s">
        <v>258</v>
      </c>
      <c r="F151" s="13">
        <f>(F6*6.1)</f>
        <v>4025.9999999999995</v>
      </c>
      <c r="G151" s="7">
        <v>16</v>
      </c>
      <c r="H151" s="7">
        <v>16</v>
      </c>
    </row>
    <row r="152" spans="1:8" ht="24" customHeight="1">
      <c r="A152" s="31" t="s">
        <v>164</v>
      </c>
      <c r="B152" s="3" t="s">
        <v>113</v>
      </c>
      <c r="C152" s="32" t="s">
        <v>34</v>
      </c>
      <c r="D152" s="13">
        <f>(D6*9.2)</f>
        <v>6899.996136</v>
      </c>
      <c r="E152" s="32" t="s">
        <v>210</v>
      </c>
      <c r="F152" s="13">
        <f>(F6*9.2)</f>
        <v>6071.999999999999</v>
      </c>
      <c r="G152" s="41">
        <v>17</v>
      </c>
      <c r="H152" s="41">
        <v>17</v>
      </c>
    </row>
    <row r="153" spans="1:8" ht="24" customHeight="1">
      <c r="A153" s="31" t="s">
        <v>165</v>
      </c>
      <c r="B153" s="3" t="s">
        <v>114</v>
      </c>
      <c r="C153" s="32" t="s">
        <v>34</v>
      </c>
      <c r="D153" s="13">
        <f>(D8*18.50002)</f>
        <v>40700.002707965716</v>
      </c>
      <c r="E153" s="32" t="s">
        <v>428</v>
      </c>
      <c r="F153" s="13">
        <f>(F8*18.5)</f>
        <v>36630</v>
      </c>
      <c r="G153" s="41">
        <v>18</v>
      </c>
      <c r="H153" s="41">
        <v>18</v>
      </c>
    </row>
    <row r="154" spans="1:8" s="7" customFormat="1" ht="24" customHeight="1">
      <c r="A154" s="35" t="s">
        <v>170</v>
      </c>
      <c r="B154" s="8" t="s">
        <v>166</v>
      </c>
      <c r="C154" s="9"/>
      <c r="D154" s="10"/>
      <c r="E154" s="15"/>
      <c r="F154" s="10"/>
      <c r="G154" s="41">
        <v>19</v>
      </c>
      <c r="H154" s="41">
        <v>19</v>
      </c>
    </row>
    <row r="155" spans="1:8" ht="24" customHeight="1">
      <c r="A155" s="31" t="s">
        <v>171</v>
      </c>
      <c r="B155" s="3" t="s">
        <v>102</v>
      </c>
      <c r="C155" s="32" t="s">
        <v>16</v>
      </c>
      <c r="D155" s="13">
        <f>(D6*200.00011)</f>
        <v>149999.9984999538</v>
      </c>
      <c r="E155" s="32" t="s">
        <v>429</v>
      </c>
      <c r="F155" s="13">
        <f>(F6*200)</f>
        <v>132000</v>
      </c>
      <c r="G155" s="7">
        <v>20</v>
      </c>
      <c r="H155" s="7">
        <v>20</v>
      </c>
    </row>
    <row r="156" spans="1:8" ht="24" customHeight="1">
      <c r="A156" s="31" t="s">
        <v>172</v>
      </c>
      <c r="B156" s="3" t="s">
        <v>103</v>
      </c>
      <c r="C156" s="32" t="s">
        <v>16</v>
      </c>
      <c r="D156" s="13">
        <f>(D6*30.000019)</f>
        <v>22500.001649992024</v>
      </c>
      <c r="E156" s="32" t="s">
        <v>430</v>
      </c>
      <c r="F156" s="13">
        <f>(F6*30)</f>
        <v>19800</v>
      </c>
      <c r="G156" s="41">
        <v>21</v>
      </c>
      <c r="H156" s="41">
        <v>21</v>
      </c>
    </row>
    <row r="157" spans="1:8" s="7" customFormat="1" ht="24" customHeight="1">
      <c r="A157" s="35" t="s">
        <v>173</v>
      </c>
      <c r="B157" s="8" t="s">
        <v>168</v>
      </c>
      <c r="C157" s="9"/>
      <c r="D157" s="10"/>
      <c r="E157" s="15"/>
      <c r="F157" s="10"/>
      <c r="G157" s="41">
        <v>22</v>
      </c>
      <c r="H157" s="41">
        <v>22</v>
      </c>
    </row>
    <row r="158" spans="1:8" ht="24" customHeight="1">
      <c r="A158" s="31" t="s">
        <v>174</v>
      </c>
      <c r="B158" s="3" t="s">
        <v>102</v>
      </c>
      <c r="C158" s="32" t="s">
        <v>32</v>
      </c>
      <c r="D158" s="13">
        <f>(D6*100.00006)</f>
        <v>75000.00299997481</v>
      </c>
      <c r="E158" s="32" t="s">
        <v>431</v>
      </c>
      <c r="F158" s="13">
        <f>(F6*100)</f>
        <v>66000</v>
      </c>
      <c r="G158" s="41">
        <v>23</v>
      </c>
      <c r="H158" s="41">
        <v>23</v>
      </c>
    </row>
    <row r="159" spans="1:8" ht="24" customHeight="1">
      <c r="A159" s="31" t="s">
        <v>175</v>
      </c>
      <c r="B159" s="3" t="s">
        <v>103</v>
      </c>
      <c r="C159" s="32" t="s">
        <v>32</v>
      </c>
      <c r="D159" s="13">
        <f>(D6*20.00001)</f>
        <v>14999.9990999958</v>
      </c>
      <c r="E159" s="32" t="s">
        <v>432</v>
      </c>
      <c r="F159" s="13">
        <f>(F6*20)</f>
        <v>13200</v>
      </c>
      <c r="G159" s="41">
        <v>24</v>
      </c>
      <c r="H159" s="41">
        <v>24</v>
      </c>
    </row>
    <row r="160" spans="1:8" s="7" customFormat="1" ht="24" customHeight="1">
      <c r="A160" s="35" t="s">
        <v>176</v>
      </c>
      <c r="B160" s="8" t="s">
        <v>169</v>
      </c>
      <c r="C160" s="9"/>
      <c r="D160" s="10"/>
      <c r="E160" s="15"/>
      <c r="F160" s="10"/>
      <c r="G160" s="41">
        <v>25</v>
      </c>
      <c r="H160" s="41">
        <v>25</v>
      </c>
    </row>
    <row r="161" spans="1:8" ht="24" customHeight="1">
      <c r="A161" s="31" t="s">
        <v>177</v>
      </c>
      <c r="B161" s="3" t="s">
        <v>102</v>
      </c>
      <c r="C161" s="32" t="s">
        <v>34</v>
      </c>
      <c r="D161" s="13">
        <f>(D6*100.00006)</f>
        <v>75000.00299997481</v>
      </c>
      <c r="E161" s="32" t="s">
        <v>433</v>
      </c>
      <c r="F161" s="13">
        <f>(F6*100)</f>
        <v>66000</v>
      </c>
      <c r="G161" s="41">
        <v>26</v>
      </c>
      <c r="H161" s="41">
        <v>26</v>
      </c>
    </row>
    <row r="162" spans="1:8" ht="24" customHeight="1">
      <c r="A162" s="31" t="s">
        <v>178</v>
      </c>
      <c r="B162" s="3" t="s">
        <v>103</v>
      </c>
      <c r="C162" s="32" t="s">
        <v>34</v>
      </c>
      <c r="D162" s="13">
        <f>(D6*20.00001)</f>
        <v>14999.9990999958</v>
      </c>
      <c r="E162" s="32" t="s">
        <v>434</v>
      </c>
      <c r="F162" s="13">
        <f>(F6*20)</f>
        <v>13200</v>
      </c>
      <c r="G162" s="41">
        <v>27</v>
      </c>
      <c r="H162" s="41">
        <v>27</v>
      </c>
    </row>
    <row r="163" spans="1:8" s="7" customFormat="1" ht="24" customHeight="1">
      <c r="A163" s="35" t="s">
        <v>180</v>
      </c>
      <c r="B163" s="8" t="s">
        <v>181</v>
      </c>
      <c r="C163" s="9"/>
      <c r="D163" s="10"/>
      <c r="E163" s="15"/>
      <c r="F163" s="10"/>
      <c r="G163" s="41">
        <v>28</v>
      </c>
      <c r="H163" s="41">
        <v>28</v>
      </c>
    </row>
    <row r="164" spans="1:8" ht="24" customHeight="1">
      <c r="A164" s="31" t="s">
        <v>182</v>
      </c>
      <c r="B164" s="3" t="s">
        <v>183</v>
      </c>
      <c r="C164" s="32" t="s">
        <v>184</v>
      </c>
      <c r="D164" s="13">
        <f>(D6*2)</f>
        <v>1499.99916</v>
      </c>
      <c r="E164" s="32" t="s">
        <v>259</v>
      </c>
      <c r="F164" s="13">
        <f>(F6*2)</f>
        <v>1320</v>
      </c>
      <c r="G164" s="41">
        <v>29</v>
      </c>
      <c r="H164" s="41">
        <v>29</v>
      </c>
    </row>
    <row r="165" spans="7:8" ht="24" customHeight="1">
      <c r="G165" s="41">
        <v>30</v>
      </c>
      <c r="H165" s="41">
        <v>30</v>
      </c>
    </row>
    <row r="166" spans="7:8" ht="24" customHeight="1">
      <c r="G166" s="41">
        <v>31</v>
      </c>
      <c r="H166" s="41">
        <v>31</v>
      </c>
    </row>
    <row r="168" spans="7:8" ht="24" customHeight="1">
      <c r="G168" s="41">
        <v>32</v>
      </c>
      <c r="H168" s="41">
        <v>32</v>
      </c>
    </row>
    <row r="169" ht="24" customHeight="1">
      <c r="E169" s="54" t="s">
        <v>219</v>
      </c>
    </row>
    <row r="170" spans="1:8" ht="24" customHeight="1">
      <c r="A170" s="34" t="s">
        <v>516</v>
      </c>
      <c r="B170" s="22"/>
      <c r="C170" s="2"/>
      <c r="D170" s="12"/>
      <c r="E170" s="21"/>
      <c r="F170" s="12"/>
      <c r="G170" s="41">
        <v>1</v>
      </c>
      <c r="H170" s="41">
        <v>1</v>
      </c>
    </row>
    <row r="171" spans="1:8" s="19" customFormat="1" ht="24" customHeight="1">
      <c r="A171" s="36" t="s">
        <v>185</v>
      </c>
      <c r="B171" s="23" t="s">
        <v>186</v>
      </c>
      <c r="C171" s="24"/>
      <c r="D171" s="25"/>
      <c r="E171" s="26"/>
      <c r="F171" s="25"/>
      <c r="G171" s="41">
        <v>2</v>
      </c>
      <c r="H171" s="41">
        <v>2</v>
      </c>
    </row>
    <row r="172" spans="1:8" s="11" customFormat="1" ht="24" customHeight="1">
      <c r="A172" s="40" t="s">
        <v>776</v>
      </c>
      <c r="B172" s="18" t="s">
        <v>783</v>
      </c>
      <c r="C172" s="18" t="s">
        <v>772</v>
      </c>
      <c r="D172" s="20" t="s">
        <v>773</v>
      </c>
      <c r="E172" s="18" t="s">
        <v>774</v>
      </c>
      <c r="F172" s="20" t="s">
        <v>773</v>
      </c>
      <c r="G172" s="41">
        <v>3</v>
      </c>
      <c r="H172" s="41">
        <v>3</v>
      </c>
    </row>
    <row r="173" spans="1:8" s="7" customFormat="1" ht="24" customHeight="1">
      <c r="A173" s="35" t="s">
        <v>187</v>
      </c>
      <c r="B173" s="8" t="s">
        <v>206</v>
      </c>
      <c r="C173" s="9"/>
      <c r="D173" s="10"/>
      <c r="E173" s="15"/>
      <c r="F173" s="10"/>
      <c r="G173" s="7">
        <v>4</v>
      </c>
      <c r="H173" s="7">
        <v>4</v>
      </c>
    </row>
    <row r="174" spans="1:8" ht="24" customHeight="1">
      <c r="A174" s="31" t="s">
        <v>188</v>
      </c>
      <c r="B174" s="3" t="s">
        <v>207</v>
      </c>
      <c r="C174" s="32" t="s">
        <v>16</v>
      </c>
      <c r="D174" s="13">
        <f>(D6*15.00001)</f>
        <v>11250.0011999958</v>
      </c>
      <c r="E174" s="32" t="s">
        <v>223</v>
      </c>
      <c r="F174" s="13">
        <f>(F6*15)</f>
        <v>9900</v>
      </c>
      <c r="G174" s="41">
        <v>5</v>
      </c>
      <c r="H174" s="41">
        <v>5</v>
      </c>
    </row>
    <row r="175" spans="1:8" ht="24" customHeight="1">
      <c r="A175" s="31" t="s">
        <v>189</v>
      </c>
      <c r="B175" s="3" t="s">
        <v>208</v>
      </c>
      <c r="C175" s="32" t="s">
        <v>17</v>
      </c>
      <c r="D175" s="13">
        <f>(D6*20.00001)</f>
        <v>14999.9990999958</v>
      </c>
      <c r="E175" s="32" t="s">
        <v>224</v>
      </c>
      <c r="F175" s="13">
        <f>(F6*20)</f>
        <v>13200</v>
      </c>
      <c r="G175" s="41">
        <v>6</v>
      </c>
      <c r="H175" s="41">
        <v>6</v>
      </c>
    </row>
    <row r="176" spans="1:8" ht="24" customHeight="1">
      <c r="A176" s="31" t="s">
        <v>190</v>
      </c>
      <c r="B176" s="3" t="s">
        <v>209</v>
      </c>
      <c r="C176" s="32" t="s">
        <v>16</v>
      </c>
      <c r="D176" s="13">
        <f>(D6*25.00001)</f>
        <v>18749.9969999958</v>
      </c>
      <c r="E176" s="32" t="s">
        <v>225</v>
      </c>
      <c r="F176" s="13">
        <f>(F6*25)</f>
        <v>16500</v>
      </c>
      <c r="G176" s="41">
        <v>7</v>
      </c>
      <c r="H176" s="41">
        <v>7</v>
      </c>
    </row>
    <row r="177" spans="1:8" ht="24" customHeight="1">
      <c r="A177" s="31" t="s">
        <v>191</v>
      </c>
      <c r="B177" s="3" t="s">
        <v>209</v>
      </c>
      <c r="C177" s="32" t="s">
        <v>16</v>
      </c>
      <c r="D177" s="13">
        <f>(D6*30.00002)</f>
        <v>22500.0023999916</v>
      </c>
      <c r="E177" s="32" t="s">
        <v>226</v>
      </c>
      <c r="F177" s="13">
        <f>(F6*30)</f>
        <v>19800</v>
      </c>
      <c r="G177" s="7">
        <v>8</v>
      </c>
      <c r="H177" s="7">
        <v>8</v>
      </c>
    </row>
    <row r="178" spans="1:8" s="7" customFormat="1" ht="24" customHeight="1">
      <c r="A178" s="35" t="s">
        <v>192</v>
      </c>
      <c r="B178" s="8" t="s">
        <v>563</v>
      </c>
      <c r="C178" s="9"/>
      <c r="D178" s="10"/>
      <c r="E178" s="15"/>
      <c r="F178" s="10"/>
      <c r="G178" s="41">
        <v>9</v>
      </c>
      <c r="H178" s="41">
        <v>9</v>
      </c>
    </row>
    <row r="179" spans="1:8" ht="24" customHeight="1">
      <c r="A179" s="31" t="s">
        <v>193</v>
      </c>
      <c r="B179" s="3" t="s">
        <v>207</v>
      </c>
      <c r="C179" s="32" t="s">
        <v>32</v>
      </c>
      <c r="D179" s="13">
        <f>(D6*15*0.3)</f>
        <v>3374.99811</v>
      </c>
      <c r="E179" s="32" t="s">
        <v>564</v>
      </c>
      <c r="F179" s="13">
        <f>(F6*15*0.3)</f>
        <v>2970</v>
      </c>
      <c r="G179" s="41">
        <v>10</v>
      </c>
      <c r="H179" s="41">
        <v>10</v>
      </c>
    </row>
    <row r="180" spans="1:8" ht="24" customHeight="1">
      <c r="A180" s="31" t="s">
        <v>194</v>
      </c>
      <c r="B180" s="3" t="s">
        <v>208</v>
      </c>
      <c r="C180" s="32" t="s">
        <v>32</v>
      </c>
      <c r="D180" s="13">
        <f>(D6*20*0.3)</f>
        <v>4499.99748</v>
      </c>
      <c r="E180" s="32" t="s">
        <v>565</v>
      </c>
      <c r="F180" s="13">
        <f>(F6*20*0.3)</f>
        <v>3960</v>
      </c>
      <c r="G180" s="41">
        <v>11</v>
      </c>
      <c r="H180" s="41">
        <v>11</v>
      </c>
    </row>
    <row r="181" spans="1:8" ht="24" customHeight="1">
      <c r="A181" s="31" t="s">
        <v>195</v>
      </c>
      <c r="B181" s="3" t="s">
        <v>209</v>
      </c>
      <c r="C181" s="32" t="s">
        <v>32</v>
      </c>
      <c r="D181" s="13">
        <f>(D6*25*0.3)</f>
        <v>5624.9968499999995</v>
      </c>
      <c r="E181" s="32" t="s">
        <v>566</v>
      </c>
      <c r="F181" s="13">
        <f>(F6*25*0.3)</f>
        <v>4950</v>
      </c>
      <c r="G181" s="7">
        <v>12</v>
      </c>
      <c r="H181" s="7">
        <v>12</v>
      </c>
    </row>
    <row r="182" spans="1:8" ht="24" customHeight="1">
      <c r="A182" s="31" t="s">
        <v>196</v>
      </c>
      <c r="B182" s="3" t="s">
        <v>209</v>
      </c>
      <c r="C182" s="32" t="s">
        <v>32</v>
      </c>
      <c r="D182" s="13">
        <f>(D6*30*0.3)</f>
        <v>6749.99622</v>
      </c>
      <c r="E182" s="32" t="s">
        <v>567</v>
      </c>
      <c r="F182" s="13">
        <f>(F6*30*0.3)</f>
        <v>5940</v>
      </c>
      <c r="G182" s="41">
        <v>13</v>
      </c>
      <c r="H182" s="41">
        <v>13</v>
      </c>
    </row>
    <row r="183" spans="1:8" s="7" customFormat="1" ht="24" customHeight="1">
      <c r="A183" s="35" t="s">
        <v>197</v>
      </c>
      <c r="B183" s="8" t="s">
        <v>489</v>
      </c>
      <c r="C183" s="9"/>
      <c r="D183" s="10"/>
      <c r="E183" s="15"/>
      <c r="F183" s="10"/>
      <c r="G183" s="41">
        <v>14</v>
      </c>
      <c r="H183" s="41">
        <v>14</v>
      </c>
    </row>
    <row r="184" spans="1:8" ht="24" customHeight="1">
      <c r="A184" s="31" t="s">
        <v>198</v>
      </c>
      <c r="B184" s="3" t="s">
        <v>207</v>
      </c>
      <c r="C184" s="32" t="s">
        <v>34</v>
      </c>
      <c r="D184" s="13">
        <f>(D6*15*0.6)</f>
        <v>6749.99622</v>
      </c>
      <c r="E184" s="32" t="s">
        <v>490</v>
      </c>
      <c r="F184" s="13">
        <f>(F6*15*0.6)</f>
        <v>5940</v>
      </c>
      <c r="G184" s="41">
        <v>15</v>
      </c>
      <c r="H184" s="41">
        <v>15</v>
      </c>
    </row>
    <row r="185" spans="1:8" ht="24" customHeight="1">
      <c r="A185" s="31" t="s">
        <v>199</v>
      </c>
      <c r="B185" s="3" t="s">
        <v>208</v>
      </c>
      <c r="C185" s="32" t="s">
        <v>34</v>
      </c>
      <c r="D185" s="13">
        <f>(D6*20*0.6000001)</f>
        <v>8999.996459999162</v>
      </c>
      <c r="E185" s="32" t="s">
        <v>227</v>
      </c>
      <c r="F185" s="13">
        <f>(F6*20*0.6)</f>
        <v>7920</v>
      </c>
      <c r="G185" s="7">
        <v>16</v>
      </c>
      <c r="H185" s="7">
        <v>16</v>
      </c>
    </row>
    <row r="186" spans="1:8" ht="24" customHeight="1">
      <c r="A186" s="31" t="s">
        <v>200</v>
      </c>
      <c r="B186" s="3" t="s">
        <v>209</v>
      </c>
      <c r="C186" s="32" t="s">
        <v>34</v>
      </c>
      <c r="D186" s="13">
        <f>(D6*25*0.6000001)</f>
        <v>11249.995574998951</v>
      </c>
      <c r="E186" s="32" t="s">
        <v>228</v>
      </c>
      <c r="F186" s="13">
        <f>(F6*25*0.6)</f>
        <v>9900</v>
      </c>
      <c r="G186" s="41">
        <v>17</v>
      </c>
      <c r="H186" s="41">
        <v>17</v>
      </c>
    </row>
    <row r="187" spans="1:8" ht="24" customHeight="1">
      <c r="A187" s="31" t="s">
        <v>201</v>
      </c>
      <c r="B187" s="3" t="s">
        <v>209</v>
      </c>
      <c r="C187" s="32" t="s">
        <v>34</v>
      </c>
      <c r="D187" s="13">
        <f>(D6*30*0.6000002)</f>
        <v>13499.996939997482</v>
      </c>
      <c r="E187" s="32" t="s">
        <v>229</v>
      </c>
      <c r="F187" s="13">
        <f>(F6*30*0.6)</f>
        <v>11880</v>
      </c>
      <c r="G187" s="41">
        <v>18</v>
      </c>
      <c r="H187" s="41">
        <v>18</v>
      </c>
    </row>
    <row r="188" spans="1:8" s="7" customFormat="1" ht="24" customHeight="1">
      <c r="A188" s="35" t="s">
        <v>202</v>
      </c>
      <c r="B188" s="8" t="s">
        <v>492</v>
      </c>
      <c r="C188" s="9"/>
      <c r="D188" s="10"/>
      <c r="E188" s="15"/>
      <c r="F188" s="10"/>
      <c r="G188" s="41">
        <v>19</v>
      </c>
      <c r="H188" s="41">
        <v>19</v>
      </c>
    </row>
    <row r="189" spans="1:8" ht="24" customHeight="1">
      <c r="A189" s="31" t="s">
        <v>203</v>
      </c>
      <c r="B189" s="3" t="s">
        <v>491</v>
      </c>
      <c r="C189" s="32" t="s">
        <v>16</v>
      </c>
      <c r="D189" s="13">
        <f>(D6*6)</f>
        <v>4499.99748</v>
      </c>
      <c r="E189" s="32" t="s">
        <v>568</v>
      </c>
      <c r="F189" s="13">
        <f>(F6*6)</f>
        <v>3960</v>
      </c>
      <c r="G189" s="7">
        <v>20</v>
      </c>
      <c r="H189" s="7">
        <v>20</v>
      </c>
    </row>
    <row r="190" spans="1:8" s="7" customFormat="1" ht="24" customHeight="1">
      <c r="A190" s="35" t="s">
        <v>204</v>
      </c>
      <c r="B190" s="8" t="s">
        <v>493</v>
      </c>
      <c r="C190" s="9"/>
      <c r="D190" s="10"/>
      <c r="E190" s="15"/>
      <c r="F190" s="10"/>
      <c r="G190" s="41">
        <v>21</v>
      </c>
      <c r="H190" s="41">
        <v>21</v>
      </c>
    </row>
    <row r="191" spans="1:8" ht="24" customHeight="1">
      <c r="A191" s="31" t="s">
        <v>205</v>
      </c>
      <c r="B191" s="3" t="s">
        <v>491</v>
      </c>
      <c r="C191" s="32" t="s">
        <v>32</v>
      </c>
      <c r="D191" s="13">
        <f>(D6*3)</f>
        <v>2249.99874</v>
      </c>
      <c r="E191" s="32" t="s">
        <v>569</v>
      </c>
      <c r="F191" s="13">
        <f>(F6*3)</f>
        <v>1980</v>
      </c>
      <c r="G191" s="41">
        <v>22</v>
      </c>
      <c r="H191" s="41">
        <v>22</v>
      </c>
    </row>
    <row r="192" spans="1:8" s="5" customFormat="1" ht="24" customHeight="1">
      <c r="A192" s="65"/>
      <c r="B192" s="60"/>
      <c r="C192" s="61"/>
      <c r="D192" s="62"/>
      <c r="E192" s="66"/>
      <c r="F192" s="62"/>
      <c r="G192" s="63"/>
      <c r="H192" s="63"/>
    </row>
    <row r="193" spans="1:8" s="2" customFormat="1" ht="24" customHeight="1">
      <c r="A193" s="49"/>
      <c r="B193" s="50"/>
      <c r="C193" s="51"/>
      <c r="D193" s="12"/>
      <c r="E193" s="51"/>
      <c r="F193" s="12"/>
      <c r="G193" s="63"/>
      <c r="H193" s="63"/>
    </row>
    <row r="194" spans="7:8" ht="24" customHeight="1">
      <c r="G194" s="41">
        <v>25</v>
      </c>
      <c r="H194" s="41">
        <v>25</v>
      </c>
    </row>
    <row r="195" spans="7:8" ht="24" customHeight="1">
      <c r="G195" s="41">
        <v>26</v>
      </c>
      <c r="H195" s="41">
        <v>26</v>
      </c>
    </row>
    <row r="196" spans="7:8" ht="24" customHeight="1">
      <c r="G196" s="41">
        <v>27</v>
      </c>
      <c r="H196" s="41">
        <v>27</v>
      </c>
    </row>
    <row r="197" spans="7:8" ht="24" customHeight="1">
      <c r="G197" s="41">
        <v>28</v>
      </c>
      <c r="H197" s="41">
        <v>28</v>
      </c>
    </row>
    <row r="198" spans="7:8" ht="24" customHeight="1">
      <c r="G198" s="41">
        <v>29</v>
      </c>
      <c r="H198" s="41">
        <v>29</v>
      </c>
    </row>
    <row r="199" spans="7:8" ht="24" customHeight="1">
      <c r="G199" s="41">
        <v>30</v>
      </c>
      <c r="H199" s="41">
        <v>30</v>
      </c>
    </row>
    <row r="200" spans="7:8" ht="24" customHeight="1">
      <c r="G200" s="41">
        <v>31</v>
      </c>
      <c r="H200" s="41">
        <v>31</v>
      </c>
    </row>
    <row r="201" spans="7:8" ht="24" customHeight="1">
      <c r="G201" s="41">
        <v>32</v>
      </c>
      <c r="H201" s="41">
        <v>32</v>
      </c>
    </row>
    <row r="203" ht="24" customHeight="1">
      <c r="E203" s="54" t="s">
        <v>220</v>
      </c>
    </row>
    <row r="204" spans="1:8" ht="24" customHeight="1">
      <c r="A204" s="34" t="s">
        <v>516</v>
      </c>
      <c r="B204" s="22"/>
      <c r="C204" s="2"/>
      <c r="D204" s="12"/>
      <c r="E204" s="21"/>
      <c r="F204" s="12"/>
      <c r="G204" s="41">
        <v>1</v>
      </c>
      <c r="H204" s="41">
        <v>1</v>
      </c>
    </row>
    <row r="205" spans="1:8" s="19" customFormat="1" ht="24" customHeight="1">
      <c r="A205" s="36" t="s">
        <v>185</v>
      </c>
      <c r="B205" s="23" t="s">
        <v>186</v>
      </c>
      <c r="C205" s="24"/>
      <c r="D205" s="25"/>
      <c r="E205" s="26"/>
      <c r="F205" s="25"/>
      <c r="G205" s="41">
        <v>2</v>
      </c>
      <c r="H205" s="41">
        <v>2</v>
      </c>
    </row>
    <row r="206" spans="1:8" s="11" customFormat="1" ht="24" customHeight="1">
      <c r="A206" s="40" t="s">
        <v>776</v>
      </c>
      <c r="B206" s="18" t="s">
        <v>783</v>
      </c>
      <c r="C206" s="18" t="s">
        <v>772</v>
      </c>
      <c r="D206" s="20" t="s">
        <v>773</v>
      </c>
      <c r="E206" s="18" t="s">
        <v>774</v>
      </c>
      <c r="F206" s="20" t="s">
        <v>773</v>
      </c>
      <c r="G206" s="41">
        <v>3</v>
      </c>
      <c r="H206" s="41">
        <v>3</v>
      </c>
    </row>
    <row r="207" spans="1:8" s="7" customFormat="1" ht="24" customHeight="1">
      <c r="A207" s="35" t="s">
        <v>494</v>
      </c>
      <c r="B207" s="8" t="s">
        <v>500</v>
      </c>
      <c r="C207" s="9"/>
      <c r="D207" s="10"/>
      <c r="E207" s="15"/>
      <c r="F207" s="10"/>
      <c r="G207" s="7">
        <v>4</v>
      </c>
      <c r="H207" s="7">
        <v>4</v>
      </c>
    </row>
    <row r="208" spans="1:8" ht="24" customHeight="1">
      <c r="A208" s="31" t="s">
        <v>495</v>
      </c>
      <c r="B208" s="3" t="s">
        <v>497</v>
      </c>
      <c r="C208" s="32" t="s">
        <v>16</v>
      </c>
      <c r="D208" s="13">
        <f>(D6*30.00002)</f>
        <v>22500.0023999916</v>
      </c>
      <c r="E208" s="32" t="s">
        <v>241</v>
      </c>
      <c r="F208" s="13">
        <f>(F6*30)</f>
        <v>19800</v>
      </c>
      <c r="G208" s="41">
        <v>5</v>
      </c>
      <c r="H208" s="41">
        <v>5</v>
      </c>
    </row>
    <row r="209" spans="1:8" ht="24" customHeight="1">
      <c r="A209" s="31" t="s">
        <v>496</v>
      </c>
      <c r="B209" s="3" t="s">
        <v>498</v>
      </c>
      <c r="C209" s="32" t="s">
        <v>17</v>
      </c>
      <c r="D209" s="13">
        <f>(D6*40.00002)</f>
        <v>29999.9981999916</v>
      </c>
      <c r="E209" s="32" t="s">
        <v>242</v>
      </c>
      <c r="F209" s="13">
        <f>(F6*40)</f>
        <v>26400</v>
      </c>
      <c r="G209" s="41">
        <v>6</v>
      </c>
      <c r="H209" s="41">
        <v>6</v>
      </c>
    </row>
    <row r="210" spans="1:8" s="7" customFormat="1" ht="24" customHeight="1">
      <c r="A210" s="35" t="s">
        <v>501</v>
      </c>
      <c r="B210" s="8" t="s">
        <v>499</v>
      </c>
      <c r="C210" s="9"/>
      <c r="D210" s="10"/>
      <c r="E210" s="15"/>
      <c r="F210" s="10"/>
      <c r="G210" s="41">
        <v>7</v>
      </c>
      <c r="H210" s="41">
        <v>7</v>
      </c>
    </row>
    <row r="211" spans="1:8" ht="24" customHeight="1">
      <c r="A211" s="31" t="s">
        <v>502</v>
      </c>
      <c r="B211" s="3" t="s">
        <v>497</v>
      </c>
      <c r="C211" s="32" t="s">
        <v>32</v>
      </c>
      <c r="D211" s="13">
        <f>(D6*15.00001)</f>
        <v>11250.0011999958</v>
      </c>
      <c r="E211" s="32" t="s">
        <v>243</v>
      </c>
      <c r="F211" s="13">
        <f>(F6*15)</f>
        <v>9900</v>
      </c>
      <c r="G211" s="7">
        <v>8</v>
      </c>
      <c r="H211" s="7">
        <v>8</v>
      </c>
    </row>
    <row r="212" spans="1:8" ht="24" customHeight="1">
      <c r="A212" s="31" t="s">
        <v>503</v>
      </c>
      <c r="B212" s="3" t="s">
        <v>498</v>
      </c>
      <c r="C212" s="32" t="s">
        <v>32</v>
      </c>
      <c r="D212" s="13">
        <f>(D6*20.00001)</f>
        <v>14999.9990999958</v>
      </c>
      <c r="E212" s="32" t="s">
        <v>244</v>
      </c>
      <c r="F212" s="13">
        <f>(F6*20)</f>
        <v>13200</v>
      </c>
      <c r="G212" s="41">
        <v>9</v>
      </c>
      <c r="H212" s="41">
        <v>9</v>
      </c>
    </row>
    <row r="213" spans="1:8" s="7" customFormat="1" ht="24" customHeight="1">
      <c r="A213" s="35" t="s">
        <v>505</v>
      </c>
      <c r="B213" s="8" t="s">
        <v>504</v>
      </c>
      <c r="C213" s="9"/>
      <c r="D213" s="10"/>
      <c r="E213" s="15"/>
      <c r="F213" s="10"/>
      <c r="G213" s="41">
        <v>10</v>
      </c>
      <c r="H213" s="41">
        <v>10</v>
      </c>
    </row>
    <row r="214" spans="1:8" ht="24" customHeight="1">
      <c r="A214" s="31" t="s">
        <v>506</v>
      </c>
      <c r="B214" s="3" t="s">
        <v>510</v>
      </c>
      <c r="C214" s="32" t="s">
        <v>16</v>
      </c>
      <c r="D214" s="13">
        <f>(D6*15.00001)</f>
        <v>11250.0011999958</v>
      </c>
      <c r="E214" s="32" t="s">
        <v>245</v>
      </c>
      <c r="F214" s="13">
        <f>(F6*15)</f>
        <v>9900</v>
      </c>
      <c r="G214" s="41">
        <v>11</v>
      </c>
      <c r="H214" s="41">
        <v>11</v>
      </c>
    </row>
    <row r="215" spans="1:8" ht="24" customHeight="1">
      <c r="A215" s="31" t="s">
        <v>507</v>
      </c>
      <c r="B215" s="3" t="s">
        <v>511</v>
      </c>
      <c r="C215" s="32" t="s">
        <v>17</v>
      </c>
      <c r="D215" s="13">
        <f>(D6*20.00001)</f>
        <v>14999.9990999958</v>
      </c>
      <c r="E215" s="32" t="s">
        <v>246</v>
      </c>
      <c r="F215" s="13">
        <f>(F6*20)</f>
        <v>13200</v>
      </c>
      <c r="G215" s="7">
        <v>12</v>
      </c>
      <c r="H215" s="7">
        <v>12</v>
      </c>
    </row>
    <row r="216" spans="1:8" ht="24" customHeight="1">
      <c r="A216" s="31" t="s">
        <v>508</v>
      </c>
      <c r="B216" s="3" t="s">
        <v>518</v>
      </c>
      <c r="C216" s="32" t="s">
        <v>17</v>
      </c>
      <c r="D216" s="13">
        <f>(D6*30.00002)</f>
        <v>22500.0023999916</v>
      </c>
      <c r="E216" s="32" t="s">
        <v>247</v>
      </c>
      <c r="F216" s="13">
        <f>(F6*30)</f>
        <v>19800</v>
      </c>
      <c r="G216" s="41">
        <v>13</v>
      </c>
      <c r="H216" s="41">
        <v>13</v>
      </c>
    </row>
    <row r="217" spans="1:8" ht="24" customHeight="1">
      <c r="A217" s="31" t="s">
        <v>509</v>
      </c>
      <c r="B217" s="3" t="s">
        <v>519</v>
      </c>
      <c r="C217" s="32" t="s">
        <v>17</v>
      </c>
      <c r="D217" s="13">
        <f>(D6*40.00002)</f>
        <v>29999.9981999916</v>
      </c>
      <c r="E217" s="32" t="s">
        <v>248</v>
      </c>
      <c r="F217" s="13">
        <f>(F6*40)</f>
        <v>26400</v>
      </c>
      <c r="G217" s="41">
        <v>14</v>
      </c>
      <c r="H217" s="41">
        <v>14</v>
      </c>
    </row>
    <row r="218" spans="1:8" s="7" customFormat="1" ht="24" customHeight="1">
      <c r="A218" s="35" t="s">
        <v>520</v>
      </c>
      <c r="B218" s="8" t="s">
        <v>526</v>
      </c>
      <c r="C218" s="9"/>
      <c r="D218" s="10"/>
      <c r="E218" s="15"/>
      <c r="F218" s="10"/>
      <c r="G218" s="41">
        <v>15</v>
      </c>
      <c r="H218" s="41">
        <v>15</v>
      </c>
    </row>
    <row r="219" spans="1:8" ht="24" customHeight="1">
      <c r="A219" s="31" t="s">
        <v>521</v>
      </c>
      <c r="B219" s="3" t="s">
        <v>510</v>
      </c>
      <c r="C219" s="32" t="s">
        <v>32</v>
      </c>
      <c r="D219" s="13">
        <f>(D6*8)</f>
        <v>5999.99664</v>
      </c>
      <c r="E219" s="32" t="s">
        <v>525</v>
      </c>
      <c r="F219" s="13">
        <f>(F6*8)</f>
        <v>5280</v>
      </c>
      <c r="G219" s="7">
        <v>16</v>
      </c>
      <c r="H219" s="7">
        <v>16</v>
      </c>
    </row>
    <row r="220" spans="1:8" ht="24" customHeight="1">
      <c r="A220" s="31" t="s">
        <v>522</v>
      </c>
      <c r="B220" s="3" t="s">
        <v>511</v>
      </c>
      <c r="C220" s="32" t="s">
        <v>32</v>
      </c>
      <c r="D220" s="13">
        <f>(D6*10)</f>
        <v>7499.995800000001</v>
      </c>
      <c r="E220" s="32" t="s">
        <v>570</v>
      </c>
      <c r="F220" s="13">
        <f>(F6*10)</f>
        <v>6600</v>
      </c>
      <c r="G220" s="41">
        <v>17</v>
      </c>
      <c r="H220" s="41">
        <v>17</v>
      </c>
    </row>
    <row r="221" spans="1:8" ht="24" customHeight="1">
      <c r="A221" s="31" t="s">
        <v>523</v>
      </c>
      <c r="B221" s="3" t="s">
        <v>518</v>
      </c>
      <c r="C221" s="32" t="s">
        <v>32</v>
      </c>
      <c r="D221" s="13">
        <f>(D6*15.00001)</f>
        <v>11250.0011999958</v>
      </c>
      <c r="E221" s="32" t="s">
        <v>249</v>
      </c>
      <c r="F221" s="13">
        <f>(F6*15)</f>
        <v>9900</v>
      </c>
      <c r="G221" s="41">
        <v>18</v>
      </c>
      <c r="H221" s="41">
        <v>18</v>
      </c>
    </row>
    <row r="222" spans="1:8" ht="24" customHeight="1">
      <c r="A222" s="31" t="s">
        <v>524</v>
      </c>
      <c r="B222" s="3" t="s">
        <v>519</v>
      </c>
      <c r="C222" s="32" t="s">
        <v>32</v>
      </c>
      <c r="D222" s="13">
        <f>(D6*20.00001)</f>
        <v>14999.9990999958</v>
      </c>
      <c r="E222" s="32" t="s">
        <v>250</v>
      </c>
      <c r="F222" s="13">
        <f>(F6*20)</f>
        <v>13200</v>
      </c>
      <c r="G222" s="41">
        <v>19</v>
      </c>
      <c r="H222" s="41">
        <v>19</v>
      </c>
    </row>
    <row r="223" spans="1:8" s="7" customFormat="1" ht="24" customHeight="1">
      <c r="A223" s="35" t="s">
        <v>527</v>
      </c>
      <c r="B223" s="8" t="s">
        <v>530</v>
      </c>
      <c r="C223" s="9"/>
      <c r="D223" s="10"/>
      <c r="E223" s="15"/>
      <c r="F223" s="10"/>
      <c r="G223" s="7">
        <v>20</v>
      </c>
      <c r="H223" s="7">
        <v>20</v>
      </c>
    </row>
    <row r="224" spans="1:8" ht="24" customHeight="1">
      <c r="A224" s="31" t="s">
        <v>528</v>
      </c>
      <c r="B224" s="3" t="s">
        <v>531</v>
      </c>
      <c r="C224" s="32" t="s">
        <v>17</v>
      </c>
      <c r="D224" s="13">
        <f>(D6*5)</f>
        <v>3749.9979000000003</v>
      </c>
      <c r="E224" s="32" t="s">
        <v>536</v>
      </c>
      <c r="F224" s="13">
        <f>(F6*5)</f>
        <v>3300</v>
      </c>
      <c r="G224" s="41">
        <v>21</v>
      </c>
      <c r="H224" s="41">
        <v>21</v>
      </c>
    </row>
    <row r="225" spans="1:8" ht="24" customHeight="1">
      <c r="A225" s="31" t="s">
        <v>529</v>
      </c>
      <c r="B225" s="3" t="s">
        <v>532</v>
      </c>
      <c r="C225" s="32" t="s">
        <v>17</v>
      </c>
      <c r="D225" s="13">
        <f>(D6*7)</f>
        <v>5249.997060000001</v>
      </c>
      <c r="E225" s="32" t="s">
        <v>537</v>
      </c>
      <c r="F225" s="13">
        <f>(F6*7)</f>
        <v>4620</v>
      </c>
      <c r="G225" s="41">
        <v>22</v>
      </c>
      <c r="H225" s="41">
        <v>22</v>
      </c>
    </row>
    <row r="226" spans="1:8" s="7" customFormat="1" ht="24" customHeight="1">
      <c r="A226" s="35" t="s">
        <v>533</v>
      </c>
      <c r="B226" s="8" t="s">
        <v>540</v>
      </c>
      <c r="C226" s="9"/>
      <c r="D226" s="10"/>
      <c r="E226" s="15"/>
      <c r="F226" s="10"/>
      <c r="G226" s="41">
        <v>23</v>
      </c>
      <c r="H226" s="41">
        <v>23</v>
      </c>
    </row>
    <row r="227" spans="1:8" ht="24" customHeight="1">
      <c r="A227" s="31" t="s">
        <v>534</v>
      </c>
      <c r="B227" s="3" t="s">
        <v>531</v>
      </c>
      <c r="C227" s="32" t="s">
        <v>32</v>
      </c>
      <c r="D227" s="13">
        <f>(D6*2.5)</f>
        <v>1874.9989500000001</v>
      </c>
      <c r="E227" s="32" t="s">
        <v>538</v>
      </c>
      <c r="F227" s="13">
        <f>(F6*2.5)</f>
        <v>1650</v>
      </c>
      <c r="G227" s="41">
        <v>24</v>
      </c>
      <c r="H227" s="41">
        <v>24</v>
      </c>
    </row>
    <row r="228" spans="1:8" ht="24" customHeight="1">
      <c r="A228" s="31" t="s">
        <v>535</v>
      </c>
      <c r="B228" s="3" t="s">
        <v>532</v>
      </c>
      <c r="C228" s="32" t="s">
        <v>32</v>
      </c>
      <c r="D228" s="13">
        <f>(D6*3.5)</f>
        <v>2624.9985300000003</v>
      </c>
      <c r="E228" s="32" t="s">
        <v>539</v>
      </c>
      <c r="F228" s="13">
        <f>(F6*3.5)</f>
        <v>2310</v>
      </c>
      <c r="G228" s="41">
        <v>25</v>
      </c>
      <c r="H228" s="41">
        <v>25</v>
      </c>
    </row>
    <row r="229" spans="7:8" ht="24" customHeight="1">
      <c r="G229" s="41">
        <v>26</v>
      </c>
      <c r="H229" s="41">
        <v>26</v>
      </c>
    </row>
    <row r="230" spans="7:8" ht="24" customHeight="1">
      <c r="G230" s="41">
        <v>27</v>
      </c>
      <c r="H230" s="41">
        <v>27</v>
      </c>
    </row>
    <row r="231" spans="7:8" ht="24" customHeight="1">
      <c r="G231" s="41">
        <v>28</v>
      </c>
      <c r="H231" s="41">
        <v>28</v>
      </c>
    </row>
    <row r="232" spans="5:8" ht="24" customHeight="1">
      <c r="E232" s="27"/>
      <c r="G232" s="41">
        <v>29</v>
      </c>
      <c r="H232" s="41">
        <v>29</v>
      </c>
    </row>
    <row r="233" spans="1:8" ht="24" customHeight="1">
      <c r="A233" s="34"/>
      <c r="B233" s="22"/>
      <c r="C233" s="2"/>
      <c r="D233" s="12"/>
      <c r="E233" s="21"/>
      <c r="F233" s="12"/>
      <c r="G233" s="41">
        <v>30</v>
      </c>
      <c r="H233" s="41">
        <v>30</v>
      </c>
    </row>
    <row r="234" spans="1:8" s="19" customFormat="1" ht="24" customHeight="1">
      <c r="A234" s="42"/>
      <c r="B234" s="43"/>
      <c r="C234" s="44"/>
      <c r="D234" s="45"/>
      <c r="E234" s="44"/>
      <c r="F234" s="45"/>
      <c r="G234" s="41">
        <v>31</v>
      </c>
      <c r="H234" s="41">
        <v>31</v>
      </c>
    </row>
    <row r="235" spans="1:8" s="11" customFormat="1" ht="24" customHeight="1">
      <c r="A235" s="46"/>
      <c r="B235" s="47"/>
      <c r="C235" s="47"/>
      <c r="D235" s="48"/>
      <c r="E235" s="47"/>
      <c r="F235" s="48"/>
      <c r="G235" s="41">
        <v>32</v>
      </c>
      <c r="H235" s="41">
        <v>32</v>
      </c>
    </row>
    <row r="236" spans="1:8" s="11" customFormat="1" ht="24" customHeight="1">
      <c r="A236" s="46"/>
      <c r="B236" s="47"/>
      <c r="C236" s="47"/>
      <c r="D236" s="48"/>
      <c r="E236" s="47"/>
      <c r="F236" s="48"/>
      <c r="G236" s="41"/>
      <c r="H236" s="41"/>
    </row>
    <row r="237" ht="24" customHeight="1">
      <c r="E237" s="54" t="s">
        <v>221</v>
      </c>
    </row>
    <row r="238" spans="1:8" ht="24" customHeight="1">
      <c r="A238" s="34" t="s">
        <v>516</v>
      </c>
      <c r="B238" s="22"/>
      <c r="C238" s="2"/>
      <c r="D238" s="12"/>
      <c r="E238" s="21"/>
      <c r="F238" s="12"/>
      <c r="G238" s="41">
        <v>1</v>
      </c>
      <c r="H238" s="41">
        <v>1</v>
      </c>
    </row>
    <row r="239" spans="1:8" ht="24" customHeight="1">
      <c r="A239" s="36" t="s">
        <v>661</v>
      </c>
      <c r="B239" s="23" t="s">
        <v>662</v>
      </c>
      <c r="C239" s="24"/>
      <c r="D239" s="25"/>
      <c r="E239" s="26"/>
      <c r="F239" s="25"/>
      <c r="G239" s="41">
        <v>2</v>
      </c>
      <c r="H239" s="41">
        <v>2</v>
      </c>
    </row>
    <row r="240" spans="1:8" ht="24" customHeight="1">
      <c r="A240" s="40" t="s">
        <v>776</v>
      </c>
      <c r="B240" s="18" t="s">
        <v>783</v>
      </c>
      <c r="C240" s="18" t="s">
        <v>772</v>
      </c>
      <c r="D240" s="20" t="s">
        <v>773</v>
      </c>
      <c r="E240" s="18" t="s">
        <v>774</v>
      </c>
      <c r="F240" s="20" t="s">
        <v>773</v>
      </c>
      <c r="G240" s="41">
        <v>3</v>
      </c>
      <c r="H240" s="41">
        <v>3</v>
      </c>
    </row>
    <row r="241" spans="1:8" ht="24" customHeight="1">
      <c r="A241" s="35" t="s">
        <v>663</v>
      </c>
      <c r="B241" s="8" t="s">
        <v>727</v>
      </c>
      <c r="C241" s="9"/>
      <c r="D241" s="10"/>
      <c r="E241" s="15"/>
      <c r="F241" s="10"/>
      <c r="G241" s="7">
        <v>4</v>
      </c>
      <c r="H241" s="7">
        <v>4</v>
      </c>
    </row>
    <row r="242" spans="1:8" ht="24" customHeight="1">
      <c r="A242" s="31" t="s">
        <v>664</v>
      </c>
      <c r="B242" s="3" t="s">
        <v>666</v>
      </c>
      <c r="C242" s="32" t="s">
        <v>16</v>
      </c>
      <c r="D242" s="13">
        <f>(D6*6)</f>
        <v>4499.99748</v>
      </c>
      <c r="E242" s="32" t="s">
        <v>571</v>
      </c>
      <c r="F242" s="13">
        <f>(F6*6)</f>
        <v>3960</v>
      </c>
      <c r="G242" s="41">
        <v>5</v>
      </c>
      <c r="H242" s="41">
        <v>5</v>
      </c>
    </row>
    <row r="243" spans="1:8" ht="24" customHeight="1">
      <c r="A243" s="31" t="s">
        <v>665</v>
      </c>
      <c r="B243" s="3" t="s">
        <v>678</v>
      </c>
      <c r="C243" s="32" t="s">
        <v>16</v>
      </c>
      <c r="D243" s="13">
        <f>(D6*4)</f>
        <v>2999.99832</v>
      </c>
      <c r="E243" s="32" t="s">
        <v>573</v>
      </c>
      <c r="F243" s="13">
        <f>(F6*4)</f>
        <v>2640</v>
      </c>
      <c r="G243" s="41">
        <v>6</v>
      </c>
      <c r="H243" s="41">
        <v>6</v>
      </c>
    </row>
    <row r="244" spans="1:8" ht="24" customHeight="1">
      <c r="A244" s="31" t="s">
        <v>679</v>
      </c>
      <c r="B244" s="3" t="s">
        <v>683</v>
      </c>
      <c r="C244" s="32" t="s">
        <v>16</v>
      </c>
      <c r="D244" s="13">
        <f>(D6*3)</f>
        <v>2249.99874</v>
      </c>
      <c r="E244" s="32" t="s">
        <v>572</v>
      </c>
      <c r="F244" s="13">
        <f>(F6*3)</f>
        <v>1980</v>
      </c>
      <c r="G244" s="41">
        <v>7</v>
      </c>
      <c r="H244" s="41">
        <v>7</v>
      </c>
    </row>
    <row r="245" spans="1:8" ht="24" customHeight="1">
      <c r="A245" s="31" t="s">
        <v>680</v>
      </c>
      <c r="B245" s="3" t="s">
        <v>684</v>
      </c>
      <c r="C245" s="32" t="s">
        <v>16</v>
      </c>
      <c r="D245" s="13">
        <f>(D6*3)</f>
        <v>2249.99874</v>
      </c>
      <c r="E245" s="32" t="s">
        <v>574</v>
      </c>
      <c r="F245" s="13">
        <f>(F6*3)</f>
        <v>1980</v>
      </c>
      <c r="G245" s="7">
        <v>8</v>
      </c>
      <c r="H245" s="7">
        <v>8</v>
      </c>
    </row>
    <row r="246" spans="1:8" ht="24" customHeight="1">
      <c r="A246" s="31" t="s">
        <v>681</v>
      </c>
      <c r="B246" s="3" t="s">
        <v>685</v>
      </c>
      <c r="C246" s="32" t="s">
        <v>16</v>
      </c>
      <c r="D246" s="13">
        <f>(D6*2.5)</f>
        <v>1874.9989500000001</v>
      </c>
      <c r="E246" s="32" t="s">
        <v>575</v>
      </c>
      <c r="F246" s="13">
        <f>(F6*2.5)</f>
        <v>1650</v>
      </c>
      <c r="G246" s="41">
        <v>9</v>
      </c>
      <c r="H246" s="41">
        <v>9</v>
      </c>
    </row>
    <row r="247" spans="1:8" ht="24" customHeight="1">
      <c r="A247" s="31" t="s">
        <v>682</v>
      </c>
      <c r="B247" s="3" t="s">
        <v>692</v>
      </c>
      <c r="C247" s="32" t="s">
        <v>16</v>
      </c>
      <c r="D247" s="13">
        <f>(D6*4.5)</f>
        <v>3374.99811</v>
      </c>
      <c r="E247" s="32" t="s">
        <v>577</v>
      </c>
      <c r="F247" s="13">
        <f>(F6*4.5)</f>
        <v>2970</v>
      </c>
      <c r="G247" s="41">
        <v>10</v>
      </c>
      <c r="H247" s="41">
        <v>10</v>
      </c>
    </row>
    <row r="248" spans="1:8" ht="24" customHeight="1">
      <c r="A248" s="31" t="s">
        <v>686</v>
      </c>
      <c r="B248" s="3" t="s">
        <v>693</v>
      </c>
      <c r="C248" s="32" t="s">
        <v>16</v>
      </c>
      <c r="D248" s="13">
        <f>(D6*3)</f>
        <v>2249.99874</v>
      </c>
      <c r="E248" s="32" t="s">
        <v>578</v>
      </c>
      <c r="F248" s="13">
        <f>(F6*3)</f>
        <v>1980</v>
      </c>
      <c r="G248" s="41">
        <v>11</v>
      </c>
      <c r="H248" s="41">
        <v>11</v>
      </c>
    </row>
    <row r="249" spans="1:8" ht="24" customHeight="1">
      <c r="A249" s="31" t="s">
        <v>688</v>
      </c>
      <c r="B249" s="3" t="s">
        <v>687</v>
      </c>
      <c r="C249" s="32" t="s">
        <v>16</v>
      </c>
      <c r="D249" s="13">
        <f>(D6*1.5)</f>
        <v>1124.99937</v>
      </c>
      <c r="E249" s="32" t="s">
        <v>579</v>
      </c>
      <c r="F249" s="13">
        <f>(F6*1.5)</f>
        <v>990</v>
      </c>
      <c r="G249" s="7">
        <v>12</v>
      </c>
      <c r="H249" s="7">
        <v>12</v>
      </c>
    </row>
    <row r="250" spans="1:8" ht="24" customHeight="1">
      <c r="A250" s="31" t="s">
        <v>690</v>
      </c>
      <c r="B250" s="3" t="s">
        <v>689</v>
      </c>
      <c r="C250" s="32" t="s">
        <v>16</v>
      </c>
      <c r="D250" s="13">
        <f>(D6*1)</f>
        <v>749.99958</v>
      </c>
      <c r="E250" s="32" t="s">
        <v>580</v>
      </c>
      <c r="F250" s="13">
        <f>(F6*1)</f>
        <v>660</v>
      </c>
      <c r="G250" s="41">
        <v>13</v>
      </c>
      <c r="H250" s="41">
        <v>13</v>
      </c>
    </row>
    <row r="251" spans="1:8" ht="24" customHeight="1">
      <c r="A251" s="31" t="s">
        <v>694</v>
      </c>
      <c r="B251" s="3" t="s">
        <v>691</v>
      </c>
      <c r="C251" s="32" t="s">
        <v>16</v>
      </c>
      <c r="D251" s="13">
        <f>(D6*0.5)</f>
        <v>374.99979</v>
      </c>
      <c r="E251" s="32" t="s">
        <v>581</v>
      </c>
      <c r="F251" s="13">
        <f>(F6*0.5)</f>
        <v>330</v>
      </c>
      <c r="G251" s="41">
        <v>14</v>
      </c>
      <c r="H251" s="41">
        <v>14</v>
      </c>
    </row>
    <row r="252" spans="1:8" ht="24" customHeight="1">
      <c r="A252" s="31" t="s">
        <v>695</v>
      </c>
      <c r="B252" s="3" t="s">
        <v>696</v>
      </c>
      <c r="C252" s="32" t="s">
        <v>16</v>
      </c>
      <c r="D252" s="13">
        <f>(D6*1)</f>
        <v>749.99958</v>
      </c>
      <c r="E252" s="32" t="s">
        <v>582</v>
      </c>
      <c r="F252" s="13">
        <f>(F6*1)</f>
        <v>660</v>
      </c>
      <c r="G252" s="41">
        <v>15</v>
      </c>
      <c r="H252" s="41">
        <v>15</v>
      </c>
    </row>
    <row r="253" spans="1:8" ht="24" customHeight="1">
      <c r="A253" s="35" t="s">
        <v>728</v>
      </c>
      <c r="B253" s="8" t="s">
        <v>542</v>
      </c>
      <c r="C253" s="9"/>
      <c r="D253" s="10"/>
      <c r="E253" s="15"/>
      <c r="F253" s="10"/>
      <c r="G253" s="7">
        <v>16</v>
      </c>
      <c r="H253" s="7">
        <v>16</v>
      </c>
    </row>
    <row r="254" spans="1:8" ht="24" customHeight="1">
      <c r="A254" s="31" t="s">
        <v>729</v>
      </c>
      <c r="B254" s="3" t="s">
        <v>666</v>
      </c>
      <c r="C254" s="32" t="s">
        <v>32</v>
      </c>
      <c r="D254" s="13">
        <f>(D6*4)</f>
        <v>2999.99832</v>
      </c>
      <c r="E254" s="32" t="s">
        <v>583</v>
      </c>
      <c r="F254" s="13">
        <f>(F6*4)</f>
        <v>2640</v>
      </c>
      <c r="G254" s="41">
        <v>17</v>
      </c>
      <c r="H254" s="41">
        <v>17</v>
      </c>
    </row>
    <row r="255" spans="1:8" ht="24" customHeight="1">
      <c r="A255" s="31" t="s">
        <v>730</v>
      </c>
      <c r="B255" s="3" t="s">
        <v>678</v>
      </c>
      <c r="C255" s="32" t="s">
        <v>32</v>
      </c>
      <c r="D255" s="13">
        <f>(D6*3)</f>
        <v>2249.99874</v>
      </c>
      <c r="E255" s="32" t="s">
        <v>650</v>
      </c>
      <c r="F255" s="13">
        <f>(F6*3)</f>
        <v>1980</v>
      </c>
      <c r="G255" s="41">
        <v>18</v>
      </c>
      <c r="H255" s="41">
        <v>18</v>
      </c>
    </row>
    <row r="256" spans="1:8" ht="24" customHeight="1">
      <c r="A256" s="31" t="s">
        <v>731</v>
      </c>
      <c r="B256" s="3" t="s">
        <v>683</v>
      </c>
      <c r="C256" s="32" t="s">
        <v>32</v>
      </c>
      <c r="D256" s="13">
        <f>(D6*2)</f>
        <v>1499.99916</v>
      </c>
      <c r="E256" s="32" t="s">
        <v>659</v>
      </c>
      <c r="F256" s="13">
        <f>(F6*2)</f>
        <v>1320</v>
      </c>
      <c r="G256" s="41">
        <v>19</v>
      </c>
      <c r="H256" s="41">
        <v>19</v>
      </c>
    </row>
    <row r="257" spans="1:8" ht="24" customHeight="1">
      <c r="A257" s="31" t="s">
        <v>732</v>
      </c>
      <c r="B257" s="3" t="s">
        <v>684</v>
      </c>
      <c r="C257" s="32" t="s">
        <v>32</v>
      </c>
      <c r="D257" s="13">
        <f>(D6*2)</f>
        <v>1499.99916</v>
      </c>
      <c r="E257" s="32" t="s">
        <v>651</v>
      </c>
      <c r="F257" s="13">
        <f>(F6*2)</f>
        <v>1320</v>
      </c>
      <c r="G257" s="7">
        <v>20</v>
      </c>
      <c r="H257" s="7">
        <v>20</v>
      </c>
    </row>
    <row r="258" spans="1:8" ht="24" customHeight="1">
      <c r="A258" s="31" t="s">
        <v>733</v>
      </c>
      <c r="B258" s="3" t="s">
        <v>685</v>
      </c>
      <c r="C258" s="32" t="s">
        <v>32</v>
      </c>
      <c r="D258" s="13">
        <f>(D6*1.5)</f>
        <v>1124.99937</v>
      </c>
      <c r="E258" s="32" t="s">
        <v>652</v>
      </c>
      <c r="F258" s="13">
        <f>(F6*1.5)</f>
        <v>990</v>
      </c>
      <c r="G258" s="41">
        <v>21</v>
      </c>
      <c r="H258" s="41">
        <v>21</v>
      </c>
    </row>
    <row r="259" spans="1:8" ht="24" customHeight="1">
      <c r="A259" s="31" t="s">
        <v>734</v>
      </c>
      <c r="B259" s="3" t="s">
        <v>692</v>
      </c>
      <c r="C259" s="32" t="s">
        <v>32</v>
      </c>
      <c r="D259" s="13">
        <f>(D6*2.5)</f>
        <v>1874.9989500000001</v>
      </c>
      <c r="E259" s="32" t="s">
        <v>653</v>
      </c>
      <c r="F259" s="13">
        <f>(F6*2.5)</f>
        <v>1650</v>
      </c>
      <c r="G259" s="41">
        <v>22</v>
      </c>
      <c r="H259" s="41">
        <v>22</v>
      </c>
    </row>
    <row r="260" spans="1:8" ht="24" customHeight="1">
      <c r="A260" s="31" t="s">
        <v>735</v>
      </c>
      <c r="B260" s="3" t="s">
        <v>693</v>
      </c>
      <c r="C260" s="32" t="s">
        <v>32</v>
      </c>
      <c r="D260" s="13">
        <f>(D6*1.5)</f>
        <v>1124.99937</v>
      </c>
      <c r="E260" s="32" t="s">
        <v>654</v>
      </c>
      <c r="F260" s="13">
        <f>(F6*1.5)</f>
        <v>990</v>
      </c>
      <c r="G260" s="41">
        <v>23</v>
      </c>
      <c r="H260" s="41">
        <v>23</v>
      </c>
    </row>
    <row r="261" spans="1:8" ht="24" customHeight="1">
      <c r="A261" s="31" t="s">
        <v>736</v>
      </c>
      <c r="B261" s="3" t="s">
        <v>687</v>
      </c>
      <c r="C261" s="32" t="s">
        <v>32</v>
      </c>
      <c r="D261" s="13">
        <f>(D6*1)</f>
        <v>749.99958</v>
      </c>
      <c r="E261" s="32" t="s">
        <v>655</v>
      </c>
      <c r="F261" s="13">
        <f>(F6*1)</f>
        <v>660</v>
      </c>
      <c r="G261" s="41">
        <v>24</v>
      </c>
      <c r="H261" s="41">
        <v>24</v>
      </c>
    </row>
    <row r="262" spans="1:8" ht="24" customHeight="1">
      <c r="A262" s="31" t="s">
        <v>737</v>
      </c>
      <c r="B262" s="3" t="s">
        <v>689</v>
      </c>
      <c r="C262" s="32" t="s">
        <v>32</v>
      </c>
      <c r="D262" s="13">
        <f>(D6*0.6)</f>
        <v>449.999748</v>
      </c>
      <c r="E262" s="32" t="s">
        <v>656</v>
      </c>
      <c r="F262" s="13">
        <f>(F6*0.6)</f>
        <v>396</v>
      </c>
      <c r="G262" s="41">
        <v>25</v>
      </c>
      <c r="H262" s="41">
        <v>25</v>
      </c>
    </row>
    <row r="263" spans="1:8" ht="24" customHeight="1">
      <c r="A263" s="31" t="s">
        <v>738</v>
      </c>
      <c r="B263" s="3" t="s">
        <v>691</v>
      </c>
      <c r="C263" s="32" t="s">
        <v>32</v>
      </c>
      <c r="D263" s="13">
        <f>(D6*0.3)</f>
        <v>224.999874</v>
      </c>
      <c r="E263" s="32" t="s">
        <v>657</v>
      </c>
      <c r="F263" s="13">
        <f>(F6*0.3)</f>
        <v>198</v>
      </c>
      <c r="G263" s="41">
        <v>26</v>
      </c>
      <c r="H263" s="41">
        <v>26</v>
      </c>
    </row>
    <row r="264" spans="1:8" ht="24" customHeight="1">
      <c r="A264" s="31" t="s">
        <v>739</v>
      </c>
      <c r="B264" s="3" t="s">
        <v>696</v>
      </c>
      <c r="C264" s="32" t="s">
        <v>32</v>
      </c>
      <c r="D264" s="13">
        <f>(D6*0.5)</f>
        <v>374.99979</v>
      </c>
      <c r="E264" s="32" t="s">
        <v>658</v>
      </c>
      <c r="F264" s="13">
        <f>(F6*0.5)</f>
        <v>330</v>
      </c>
      <c r="G264" s="41">
        <v>27</v>
      </c>
      <c r="H264" s="41">
        <v>27</v>
      </c>
    </row>
    <row r="265" spans="7:8" ht="24" customHeight="1">
      <c r="G265" s="41">
        <v>29</v>
      </c>
      <c r="H265" s="41">
        <v>29</v>
      </c>
    </row>
    <row r="266" spans="7:8" ht="24" customHeight="1">
      <c r="G266" s="41">
        <v>30</v>
      </c>
      <c r="H266" s="41">
        <v>30</v>
      </c>
    </row>
    <row r="267" spans="7:8" ht="24" customHeight="1">
      <c r="G267" s="41">
        <v>31</v>
      </c>
      <c r="H267" s="41">
        <v>31</v>
      </c>
    </row>
    <row r="268" spans="7:8" ht="24" customHeight="1">
      <c r="G268" s="41">
        <v>32</v>
      </c>
      <c r="H268" s="41">
        <v>32</v>
      </c>
    </row>
    <row r="271" ht="24" customHeight="1">
      <c r="E271" s="54" t="s">
        <v>222</v>
      </c>
    </row>
    <row r="272" spans="1:8" ht="24" customHeight="1">
      <c r="A272" s="34" t="s">
        <v>516</v>
      </c>
      <c r="B272" s="22"/>
      <c r="C272" s="2"/>
      <c r="D272" s="12"/>
      <c r="E272" s="21"/>
      <c r="F272" s="12"/>
      <c r="G272" s="41">
        <v>1</v>
      </c>
      <c r="H272" s="41">
        <v>1</v>
      </c>
    </row>
    <row r="273" spans="1:8" ht="24" customHeight="1">
      <c r="A273" s="36" t="s">
        <v>740</v>
      </c>
      <c r="B273" s="23" t="s">
        <v>747</v>
      </c>
      <c r="C273" s="24"/>
      <c r="D273" s="25"/>
      <c r="E273" s="26"/>
      <c r="F273" s="25"/>
      <c r="G273" s="41">
        <v>2</v>
      </c>
      <c r="H273" s="41">
        <v>2</v>
      </c>
    </row>
    <row r="274" spans="1:8" ht="24" customHeight="1">
      <c r="A274" s="40" t="s">
        <v>776</v>
      </c>
      <c r="B274" s="18" t="s">
        <v>783</v>
      </c>
      <c r="C274" s="18" t="s">
        <v>772</v>
      </c>
      <c r="D274" s="20" t="s">
        <v>773</v>
      </c>
      <c r="E274" s="18" t="s">
        <v>774</v>
      </c>
      <c r="F274" s="20" t="s">
        <v>773</v>
      </c>
      <c r="G274" s="41">
        <v>3</v>
      </c>
      <c r="H274" s="41">
        <v>3</v>
      </c>
    </row>
    <row r="275" spans="1:8" ht="24" customHeight="1">
      <c r="A275" s="35" t="s">
        <v>741</v>
      </c>
      <c r="B275" s="8" t="s">
        <v>745</v>
      </c>
      <c r="C275" s="9"/>
      <c r="D275" s="10"/>
      <c r="E275" s="15"/>
      <c r="F275" s="10"/>
      <c r="G275" s="7">
        <v>4</v>
      </c>
      <c r="H275" s="7">
        <v>4</v>
      </c>
    </row>
    <row r="276" spans="1:8" ht="24" customHeight="1">
      <c r="A276" s="31" t="s">
        <v>742</v>
      </c>
      <c r="B276" s="3" t="s">
        <v>697</v>
      </c>
      <c r="C276" s="32" t="s">
        <v>16</v>
      </c>
      <c r="D276" s="13">
        <f>(D6*1.8)</f>
        <v>1349.999244</v>
      </c>
      <c r="E276" s="32" t="s">
        <v>514</v>
      </c>
      <c r="F276" s="13">
        <f>(F6*1.67105)</f>
        <v>1102.893</v>
      </c>
      <c r="G276" s="41">
        <v>5</v>
      </c>
      <c r="H276" s="41">
        <v>5</v>
      </c>
    </row>
    <row r="277" spans="1:8" ht="24" customHeight="1">
      <c r="A277" s="35" t="s">
        <v>743</v>
      </c>
      <c r="B277" s="8" t="s">
        <v>746</v>
      </c>
      <c r="C277" s="9"/>
      <c r="D277" s="10"/>
      <c r="E277" s="15"/>
      <c r="F277" s="10"/>
      <c r="G277" s="41">
        <v>6</v>
      </c>
      <c r="H277" s="41">
        <v>6</v>
      </c>
    </row>
    <row r="278" spans="1:8" ht="24" customHeight="1">
      <c r="A278" s="31" t="s">
        <v>744</v>
      </c>
      <c r="B278" s="3" t="s">
        <v>697</v>
      </c>
      <c r="C278" s="32" t="s">
        <v>16</v>
      </c>
      <c r="D278" s="13">
        <f>(D6*1)</f>
        <v>749.99958</v>
      </c>
      <c r="E278" s="32" t="s">
        <v>251</v>
      </c>
      <c r="F278" s="13">
        <f>(F6*1)</f>
        <v>660</v>
      </c>
      <c r="G278" s="41">
        <v>7</v>
      </c>
      <c r="H278" s="41">
        <v>7</v>
      </c>
    </row>
    <row r="279" spans="7:8" ht="24" customHeight="1">
      <c r="G279" s="7">
        <v>8</v>
      </c>
      <c r="H279" s="7">
        <v>8</v>
      </c>
    </row>
    <row r="280" spans="1:8" ht="13.5" customHeight="1">
      <c r="A280" s="39"/>
      <c r="B280" s="59" t="s">
        <v>750</v>
      </c>
      <c r="C280" s="2"/>
      <c r="D280" s="12"/>
      <c r="E280" s="21"/>
      <c r="F280" s="12"/>
      <c r="G280" s="41">
        <v>9</v>
      </c>
      <c r="H280" s="41">
        <v>9</v>
      </c>
    </row>
    <row r="281" spans="1:8" ht="13.5" customHeight="1">
      <c r="A281" s="54" t="s">
        <v>748</v>
      </c>
      <c r="B281" s="56" t="s">
        <v>515</v>
      </c>
      <c r="G281" s="41">
        <v>10</v>
      </c>
      <c r="H281" s="41">
        <v>10</v>
      </c>
    </row>
    <row r="282" spans="1:8" ht="13.5" customHeight="1">
      <c r="A282" s="54" t="s">
        <v>749</v>
      </c>
      <c r="B282" s="56" t="s">
        <v>543</v>
      </c>
      <c r="G282" s="41">
        <v>11</v>
      </c>
      <c r="H282" s="41">
        <v>11</v>
      </c>
    </row>
    <row r="283" spans="1:8" ht="13.5" customHeight="1">
      <c r="A283" s="54"/>
      <c r="B283" s="56"/>
      <c r="G283" s="7">
        <v>12</v>
      </c>
      <c r="H283" s="7">
        <v>12</v>
      </c>
    </row>
    <row r="284" spans="1:8" ht="13.5" customHeight="1">
      <c r="A284" s="52"/>
      <c r="B284" s="56"/>
      <c r="G284" s="41">
        <v>13</v>
      </c>
      <c r="H284" s="41">
        <v>13</v>
      </c>
    </row>
    <row r="285" spans="1:8" ht="13.5" customHeight="1">
      <c r="A285" s="39"/>
      <c r="B285" s="59" t="s">
        <v>751</v>
      </c>
      <c r="C285" s="2"/>
      <c r="D285" s="12"/>
      <c r="E285" s="21"/>
      <c r="F285" s="12"/>
      <c r="G285" s="41">
        <v>14</v>
      </c>
      <c r="H285" s="41">
        <v>14</v>
      </c>
    </row>
    <row r="286" spans="1:8" ht="13.5" customHeight="1">
      <c r="A286" s="52"/>
      <c r="B286" s="58" t="s">
        <v>752</v>
      </c>
      <c r="G286" s="41">
        <v>15</v>
      </c>
      <c r="H286" s="41">
        <v>15</v>
      </c>
    </row>
    <row r="287" spans="1:8" ht="13.5" customHeight="1">
      <c r="A287" s="57" t="s">
        <v>753</v>
      </c>
      <c r="B287" s="56" t="s">
        <v>754</v>
      </c>
      <c r="G287" s="7">
        <v>16</v>
      </c>
      <c r="H287" s="7">
        <v>16</v>
      </c>
    </row>
    <row r="288" spans="1:8" ht="13.5" customHeight="1">
      <c r="A288" s="57" t="s">
        <v>753</v>
      </c>
      <c r="B288" s="56" t="s">
        <v>755</v>
      </c>
      <c r="G288" s="41">
        <v>17</v>
      </c>
      <c r="H288" s="41">
        <v>17</v>
      </c>
    </row>
    <row r="289" spans="1:8" ht="13.5" customHeight="1">
      <c r="A289" s="57" t="s">
        <v>753</v>
      </c>
      <c r="B289" s="56" t="s">
        <v>756</v>
      </c>
      <c r="G289" s="41">
        <v>18</v>
      </c>
      <c r="H289" s="41">
        <v>18</v>
      </c>
    </row>
    <row r="290" spans="1:8" ht="13.5" customHeight="1">
      <c r="A290" s="57" t="s">
        <v>753</v>
      </c>
      <c r="B290" s="56" t="s">
        <v>757</v>
      </c>
      <c r="G290" s="41">
        <v>19</v>
      </c>
      <c r="H290" s="41">
        <v>19</v>
      </c>
    </row>
    <row r="291" spans="1:8" ht="13.5" customHeight="1">
      <c r="A291" s="57" t="s">
        <v>753</v>
      </c>
      <c r="B291" s="56" t="s">
        <v>758</v>
      </c>
      <c r="G291" s="7">
        <v>20</v>
      </c>
      <c r="H291" s="7">
        <v>20</v>
      </c>
    </row>
    <row r="292" spans="1:8" ht="13.5" customHeight="1">
      <c r="A292" s="57" t="s">
        <v>753</v>
      </c>
      <c r="B292" s="56" t="s">
        <v>759</v>
      </c>
      <c r="G292" s="41">
        <v>21</v>
      </c>
      <c r="H292" s="41">
        <v>21</v>
      </c>
    </row>
    <row r="293" spans="1:8" ht="13.5" customHeight="1">
      <c r="A293" s="57" t="s">
        <v>753</v>
      </c>
      <c r="B293" s="56" t="s">
        <v>760</v>
      </c>
      <c r="G293" s="41">
        <v>22</v>
      </c>
      <c r="H293" s="41">
        <v>22</v>
      </c>
    </row>
    <row r="294" spans="1:8" ht="13.5" customHeight="1">
      <c r="A294" s="57" t="s">
        <v>753</v>
      </c>
      <c r="B294" s="56" t="s">
        <v>761</v>
      </c>
      <c r="G294" s="41">
        <v>23</v>
      </c>
      <c r="H294" s="41">
        <v>23</v>
      </c>
    </row>
    <row r="295" spans="1:8" ht="13.5" customHeight="1">
      <c r="A295" s="53" t="s">
        <v>753</v>
      </c>
      <c r="B295" s="56" t="s">
        <v>762</v>
      </c>
      <c r="G295" s="41">
        <v>24</v>
      </c>
      <c r="H295" s="41">
        <v>24</v>
      </c>
    </row>
    <row r="296" spans="1:8" ht="13.5" customHeight="1">
      <c r="A296" s="52"/>
      <c r="B296" s="58" t="s">
        <v>660</v>
      </c>
      <c r="G296" s="41">
        <v>25</v>
      </c>
      <c r="H296" s="41">
        <v>25</v>
      </c>
    </row>
    <row r="297" spans="1:8" ht="13.5" customHeight="1">
      <c r="A297" s="57" t="s">
        <v>753</v>
      </c>
      <c r="B297" s="56" t="s">
        <v>763</v>
      </c>
      <c r="G297" s="41">
        <v>26</v>
      </c>
      <c r="H297" s="41">
        <v>26</v>
      </c>
    </row>
    <row r="298" spans="1:8" ht="13.5" customHeight="1">
      <c r="A298" s="57" t="s">
        <v>753</v>
      </c>
      <c r="B298" s="56" t="s">
        <v>764</v>
      </c>
      <c r="G298" s="41">
        <v>27</v>
      </c>
      <c r="H298" s="41">
        <v>27</v>
      </c>
    </row>
    <row r="299" spans="1:8" ht="13.5" customHeight="1">
      <c r="A299" s="57" t="s">
        <v>753</v>
      </c>
      <c r="B299" s="56" t="s">
        <v>765</v>
      </c>
      <c r="G299" s="41">
        <v>29</v>
      </c>
      <c r="H299" s="41">
        <v>29</v>
      </c>
    </row>
    <row r="300" spans="1:8" ht="13.5" customHeight="1">
      <c r="A300" s="57" t="s">
        <v>753</v>
      </c>
      <c r="B300" s="56" t="s">
        <v>252</v>
      </c>
      <c r="G300" s="41">
        <v>30</v>
      </c>
      <c r="H300" s="41">
        <v>30</v>
      </c>
    </row>
    <row r="301" spans="1:8" ht="13.5" customHeight="1">
      <c r="A301" s="57" t="s">
        <v>753</v>
      </c>
      <c r="B301" s="56" t="s">
        <v>766</v>
      </c>
      <c r="G301" s="41">
        <v>31</v>
      </c>
      <c r="H301" s="41">
        <v>31</v>
      </c>
    </row>
    <row r="302" spans="1:8" ht="13.5" customHeight="1">
      <c r="A302" s="57" t="s">
        <v>753</v>
      </c>
      <c r="B302" s="56" t="s">
        <v>767</v>
      </c>
      <c r="G302" s="41">
        <v>32</v>
      </c>
      <c r="H302" s="41">
        <v>32</v>
      </c>
    </row>
    <row r="303" spans="1:8" ht="13.5" customHeight="1">
      <c r="A303" s="57" t="s">
        <v>753</v>
      </c>
      <c r="B303" s="56" t="s">
        <v>768</v>
      </c>
      <c r="G303" s="41">
        <v>33</v>
      </c>
      <c r="H303" s="41">
        <v>33</v>
      </c>
    </row>
    <row r="304" spans="1:8" ht="13.5" customHeight="1">
      <c r="A304" s="57" t="s">
        <v>753</v>
      </c>
      <c r="B304" s="56" t="s">
        <v>769</v>
      </c>
      <c r="G304" s="41">
        <v>34</v>
      </c>
      <c r="H304" s="41">
        <v>34</v>
      </c>
    </row>
    <row r="305" spans="1:8" ht="13.5" customHeight="1">
      <c r="A305" s="57" t="s">
        <v>753</v>
      </c>
      <c r="B305" s="56" t="s">
        <v>770</v>
      </c>
      <c r="G305" s="41">
        <v>35</v>
      </c>
      <c r="H305" s="41">
        <v>35</v>
      </c>
    </row>
    <row r="306" spans="7:8" ht="13.5" customHeight="1">
      <c r="G306" s="41">
        <v>36</v>
      </c>
      <c r="H306" s="41">
        <v>36</v>
      </c>
    </row>
    <row r="307" spans="7:8" ht="13.5" customHeight="1">
      <c r="G307" s="41">
        <v>37</v>
      </c>
      <c r="H307" s="41">
        <v>37</v>
      </c>
    </row>
    <row r="308" spans="5:8" ht="13.5" customHeight="1">
      <c r="E308" s="64" t="s">
        <v>260</v>
      </c>
      <c r="G308" s="41">
        <v>38</v>
      </c>
      <c r="H308" s="41">
        <v>38</v>
      </c>
    </row>
    <row r="309" spans="5:8" ht="13.5" customHeight="1">
      <c r="E309" s="67" t="s">
        <v>261</v>
      </c>
      <c r="G309" s="41">
        <v>39</v>
      </c>
      <c r="H309" s="41">
        <v>39</v>
      </c>
    </row>
    <row r="310" spans="7:8" ht="13.5" customHeight="1">
      <c r="G310" s="41">
        <v>40</v>
      </c>
      <c r="H310" s="41">
        <v>40</v>
      </c>
    </row>
    <row r="311" ht="13.5" customHeight="1"/>
    <row r="312" ht="13.5" customHeight="1">
      <c r="E312" s="64"/>
    </row>
    <row r="313" ht="13.5" customHeight="1">
      <c r="E313" s="64"/>
    </row>
    <row r="314" ht="13.5" customHeight="1">
      <c r="E314" s="64"/>
    </row>
    <row r="315" ht="13.5" customHeight="1">
      <c r="E315" s="67"/>
    </row>
    <row r="316" spans="1:2" ht="13.5" customHeight="1">
      <c r="A316" s="54"/>
      <c r="B316" s="56"/>
    </row>
    <row r="317" spans="1:8" ht="13.5" customHeight="1">
      <c r="A317" s="54"/>
      <c r="B317" s="56"/>
      <c r="G317" s="7"/>
      <c r="H317" s="7"/>
    </row>
    <row r="318" spans="1:2" ht="13.5" customHeight="1">
      <c r="A318" s="52"/>
      <c r="B318" s="56"/>
    </row>
    <row r="319" spans="1:6" ht="13.5" customHeight="1">
      <c r="A319" s="39"/>
      <c r="B319" s="59"/>
      <c r="C319" s="2"/>
      <c r="D319" s="12"/>
      <c r="E319" s="21"/>
      <c r="F319" s="12"/>
    </row>
    <row r="320" spans="1:2" ht="13.5" customHeight="1">
      <c r="A320" s="52"/>
      <c r="B320" s="58"/>
    </row>
    <row r="321" spans="1:8" ht="13.5" customHeight="1">
      <c r="A321" s="57"/>
      <c r="B321" s="56"/>
      <c r="G321" s="7"/>
      <c r="H321" s="7"/>
    </row>
    <row r="322" spans="1:2" ht="13.5" customHeight="1">
      <c r="A322" s="57"/>
      <c r="B322" s="56"/>
    </row>
    <row r="323" spans="1:2" ht="13.5" customHeight="1">
      <c r="A323" s="57"/>
      <c r="B323" s="56"/>
    </row>
    <row r="324" spans="1:2" ht="13.5" customHeight="1">
      <c r="A324" s="57"/>
      <c r="B324" s="56"/>
    </row>
    <row r="325" spans="1:8" ht="13.5" customHeight="1">
      <c r="A325" s="57"/>
      <c r="B325" s="56"/>
      <c r="G325" s="7"/>
      <c r="H325" s="7"/>
    </row>
    <row r="326" spans="1:2" ht="13.5" customHeight="1">
      <c r="A326" s="57"/>
      <c r="B326" s="56"/>
    </row>
    <row r="327" spans="1:2" ht="13.5" customHeight="1">
      <c r="A327" s="57"/>
      <c r="B327" s="56"/>
    </row>
    <row r="328" spans="1:2" ht="13.5" customHeight="1">
      <c r="A328" s="57"/>
      <c r="B328" s="56"/>
    </row>
    <row r="329" spans="1:2" ht="13.5" customHeight="1">
      <c r="A329" s="53"/>
      <c r="B329" s="56"/>
    </row>
    <row r="330" spans="1:2" ht="13.5" customHeight="1">
      <c r="A330" s="52"/>
      <c r="B330" s="58"/>
    </row>
    <row r="331" spans="1:2" ht="13.5" customHeight="1">
      <c r="A331" s="57"/>
      <c r="B331" s="56"/>
    </row>
    <row r="332" spans="1:2" ht="13.5" customHeight="1">
      <c r="A332" s="57"/>
      <c r="B332" s="56"/>
    </row>
    <row r="333" spans="1:2" ht="13.5" customHeight="1">
      <c r="A333" s="57"/>
      <c r="B333" s="56"/>
    </row>
    <row r="334" spans="1:2" ht="13.5" customHeight="1">
      <c r="A334" s="57"/>
      <c r="B334" s="56"/>
    </row>
    <row r="335" spans="1:2" ht="13.5" customHeight="1">
      <c r="A335" s="57"/>
      <c r="B335" s="56"/>
    </row>
    <row r="336" spans="1:2" ht="13.5" customHeight="1">
      <c r="A336" s="57"/>
      <c r="B336" s="56"/>
    </row>
    <row r="337" spans="1:2" ht="13.5" customHeight="1">
      <c r="A337" s="57"/>
      <c r="B337" s="56"/>
    </row>
    <row r="338" spans="1:2" ht="13.5" customHeight="1">
      <c r="A338" s="57"/>
      <c r="B338" s="56"/>
    </row>
    <row r="339" spans="1:2" ht="13.5" customHeight="1">
      <c r="A339" s="57"/>
      <c r="B339" s="56"/>
    </row>
    <row r="340" ht="13.5" customHeight="1"/>
    <row r="341" ht="13.5" customHeight="1"/>
    <row r="342" ht="13.5" customHeight="1">
      <c r="E342" s="64"/>
    </row>
    <row r="343" ht="13.5" customHeight="1">
      <c r="E343" s="64"/>
    </row>
    <row r="344" ht="13.5" customHeight="1"/>
    <row r="345" ht="13.5" customHeight="1"/>
    <row r="346" ht="13.5" customHeight="1">
      <c r="E346" s="64"/>
    </row>
    <row r="347" ht="13.5" customHeight="1">
      <c r="E347" s="64"/>
    </row>
    <row r="348" ht="13.5" customHeight="1">
      <c r="E348" s="64"/>
    </row>
    <row r="349" ht="13.5" customHeight="1">
      <c r="E349" s="67"/>
    </row>
    <row r="350" ht="13.5" customHeight="1"/>
  </sheetData>
  <printOptions/>
  <pageMargins left="0.36" right="0.75" top="0.19" bottom="0.18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za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 Jenšterle</dc:creator>
  <cp:keywords/>
  <dc:description/>
  <cp:lastModifiedBy>test</cp:lastModifiedBy>
  <cp:lastPrinted>2006-10-18T10:34:58Z</cp:lastPrinted>
  <dcterms:created xsi:type="dcterms:W3CDTF">2001-08-16T10:20:18Z</dcterms:created>
  <dcterms:modified xsi:type="dcterms:W3CDTF">2007-05-20T07:14:58Z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